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"/>
    </mc:Choice>
  </mc:AlternateContent>
  <bookViews>
    <workbookView xWindow="120" yWindow="105" windowWidth="15180" windowHeight="8835" tabRatio="463"/>
  </bookViews>
  <sheets>
    <sheet name="1 лист" sheetId="10" r:id="rId1"/>
  </sheets>
  <definedNames>
    <definedName name="_xlnm._FilterDatabase" localSheetId="0" hidden="1">'1 лист'!$C$1:$C$171</definedName>
    <definedName name="_xlnm.Print_Titles" localSheetId="0">'1 лист'!$9:$12</definedName>
    <definedName name="_xlnm.Print_Area" localSheetId="0">'1 лист'!$A$1:$N$170</definedName>
  </definedNames>
  <calcPr calcId="162913"/>
</workbook>
</file>

<file path=xl/calcChain.xml><?xml version="1.0" encoding="utf-8"?>
<calcChain xmlns="http://schemas.openxmlformats.org/spreadsheetml/2006/main">
  <c r="D167" i="10" l="1"/>
  <c r="E167" i="10"/>
  <c r="F167" i="10"/>
  <c r="M149" i="10" l="1"/>
  <c r="M147" i="10"/>
  <c r="E144" i="10" l="1"/>
  <c r="F144" i="10" s="1"/>
  <c r="E162" i="10"/>
  <c r="F162" i="10" s="1"/>
  <c r="E153" i="10"/>
  <c r="F153" i="10" s="1"/>
  <c r="E152" i="10"/>
  <c r="F152" i="10" s="1"/>
  <c r="E151" i="10"/>
  <c r="F151" i="10" s="1"/>
  <c r="E141" i="10"/>
  <c r="F141" i="10" s="1"/>
  <c r="E137" i="10"/>
  <c r="F137" i="10" s="1"/>
  <c r="E133" i="10"/>
  <c r="F133" i="10" s="1"/>
  <c r="E131" i="10"/>
  <c r="F131" i="10" s="1"/>
  <c r="F125" i="10"/>
  <c r="F124" i="10"/>
  <c r="E125" i="10"/>
  <c r="E124" i="10"/>
  <c r="D125" i="10"/>
  <c r="E115" i="10"/>
  <c r="E119" i="10"/>
  <c r="D115" i="10"/>
  <c r="M143" i="10" l="1"/>
  <c r="E109" i="10"/>
  <c r="K78" i="10"/>
  <c r="O80" i="10"/>
  <c r="K106" i="10"/>
  <c r="D109" i="10" l="1"/>
  <c r="F60" i="10" l="1"/>
  <c r="F14" i="10" l="1"/>
  <c r="G22" i="10"/>
  <c r="G43" i="10" l="1"/>
  <c r="G48" i="10" l="1"/>
  <c r="F47" i="10"/>
  <c r="E47" i="10"/>
  <c r="F46" i="10"/>
  <c r="F42" i="10"/>
  <c r="F41" i="10" l="1"/>
  <c r="G47" i="10"/>
  <c r="G46" i="10"/>
  <c r="F13" i="10" l="1"/>
  <c r="M31" i="10" l="1"/>
  <c r="A78" i="10" l="1"/>
  <c r="A79" i="10" s="1"/>
  <c r="A80" i="10" s="1"/>
  <c r="A81" i="10" s="1"/>
  <c r="G32" i="10" l="1"/>
  <c r="E29" i="10"/>
  <c r="G29" i="10" s="1"/>
  <c r="G78" i="10" l="1"/>
  <c r="G108" i="10"/>
  <c r="G76" i="10"/>
  <c r="G56" i="10"/>
  <c r="G37" i="10"/>
  <c r="D23" i="10" l="1"/>
  <c r="M119" i="10" l="1"/>
  <c r="E130" i="10"/>
  <c r="F130" i="10"/>
  <c r="E49" i="10" l="1"/>
  <c r="F49" i="10"/>
  <c r="D49" i="10"/>
  <c r="E36" i="10"/>
  <c r="G42" i="10"/>
  <c r="D13" i="10"/>
  <c r="G23" i="10" l="1"/>
  <c r="G24" i="10"/>
  <c r="G25" i="10"/>
  <c r="G26" i="10"/>
  <c r="E139" i="10" l="1"/>
  <c r="F139" i="10" s="1"/>
  <c r="E135" i="10"/>
  <c r="F135" i="10" s="1"/>
  <c r="M115" i="10" l="1"/>
  <c r="E83" i="10" l="1"/>
  <c r="E73" i="10" s="1"/>
  <c r="F83" i="10"/>
  <c r="F73" i="10" s="1"/>
  <c r="D83" i="10"/>
  <c r="D73" i="10" s="1"/>
  <c r="E82" i="10"/>
  <c r="E72" i="10" s="1"/>
  <c r="F82" i="10"/>
  <c r="F72" i="10" s="1"/>
  <c r="D82" i="10"/>
  <c r="D72" i="10" s="1"/>
  <c r="G77" i="10" l="1"/>
  <c r="A59" i="10" l="1"/>
  <c r="A60" i="10" s="1"/>
  <c r="A61" i="10" s="1"/>
  <c r="G60" i="10"/>
  <c r="G51" i="10" l="1"/>
  <c r="M32" i="10"/>
  <c r="M15" i="10"/>
  <c r="E38" i="10"/>
  <c r="E33" i="10"/>
  <c r="G17" i="10"/>
  <c r="G20" i="10"/>
  <c r="G21" i="10"/>
  <c r="E13" i="10" l="1"/>
  <c r="D130" i="10"/>
  <c r="G163" i="10"/>
  <c r="M75" i="10"/>
  <c r="M74" i="10"/>
  <c r="G130" i="10" l="1"/>
  <c r="M120" i="10"/>
  <c r="E129" i="10"/>
  <c r="E112" i="10"/>
  <c r="F112" i="10" l="1"/>
  <c r="F129" i="10"/>
  <c r="D129" i="10"/>
  <c r="G107" i="10"/>
  <c r="G90" i="10"/>
  <c r="G91" i="10"/>
  <c r="G15" i="10" l="1"/>
  <c r="G167" i="10" l="1"/>
  <c r="G109" i="10" l="1"/>
  <c r="G79" i="10"/>
  <c r="G16" i="10"/>
  <c r="G50" i="10"/>
  <c r="G36" i="10" l="1"/>
  <c r="G35" i="10"/>
  <c r="G19" i="10"/>
  <c r="M154" i="10"/>
  <c r="M155" i="10"/>
  <c r="M156" i="10"/>
  <c r="M157" i="10"/>
  <c r="M146" i="10"/>
  <c r="M145" i="10"/>
  <c r="M144" i="10"/>
  <c r="M142" i="10"/>
  <c r="M141" i="10"/>
  <c r="M140" i="10"/>
  <c r="M139" i="10"/>
  <c r="M138" i="10"/>
  <c r="M137" i="10"/>
  <c r="G73" i="10"/>
  <c r="E71" i="10"/>
  <c r="D71" i="10"/>
  <c r="E57" i="10"/>
  <c r="F57" i="10"/>
  <c r="D57" i="10"/>
  <c r="A62" i="10" l="1"/>
  <c r="F71" i="10"/>
  <c r="G71" i="10" s="1"/>
  <c r="G49" i="10"/>
  <c r="A63" i="10" l="1"/>
  <c r="A64" i="10" s="1"/>
  <c r="A65" i="10" s="1"/>
  <c r="A66" i="10" s="1"/>
  <c r="A15" i="10"/>
  <c r="F123" i="10"/>
  <c r="F166" i="10" s="1"/>
  <c r="A16" i="10" l="1"/>
  <c r="A17" i="10" s="1"/>
  <c r="A18" i="10" s="1"/>
  <c r="A19" i="10" s="1"/>
  <c r="A20" i="10" s="1"/>
  <c r="A21" i="10" s="1"/>
  <c r="A67" i="10"/>
  <c r="A68" i="10" s="1"/>
  <c r="A69" i="10" s="1"/>
  <c r="A70" i="10" s="1"/>
  <c r="G41" i="10"/>
  <c r="G18" i="10"/>
  <c r="A22" i="10" l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G140" i="10"/>
  <c r="G139" i="10"/>
  <c r="G138" i="10"/>
  <c r="G136" i="10"/>
  <c r="G135" i="10"/>
  <c r="G134" i="10"/>
  <c r="G132" i="10"/>
  <c r="G127" i="10"/>
  <c r="G126" i="10"/>
  <c r="G125" i="10"/>
  <c r="G124" i="10"/>
  <c r="G119" i="10"/>
  <c r="G115" i="10"/>
  <c r="G113" i="10"/>
  <c r="G39" i="10"/>
  <c r="A43" i="10" l="1"/>
  <c r="A44" i="10" s="1"/>
  <c r="A45" i="10" s="1"/>
  <c r="A46" i="10" s="1"/>
  <c r="A47" i="10" s="1"/>
  <c r="A48" i="10" s="1"/>
  <c r="M152" i="10"/>
  <c r="M151" i="10"/>
  <c r="M132" i="10"/>
  <c r="M131" i="10"/>
  <c r="M33" i="10" l="1"/>
  <c r="G152" i="10"/>
  <c r="G131" i="10" l="1"/>
  <c r="G137" i="10"/>
  <c r="G144" i="10"/>
  <c r="G162" i="10"/>
  <c r="G133" i="10"/>
  <c r="G141" i="10"/>
  <c r="G153" i="10"/>
  <c r="G151" i="10"/>
  <c r="G31" i="10" l="1"/>
  <c r="G34" i="10"/>
  <c r="G40" i="10"/>
  <c r="G33" i="10"/>
  <c r="G38" i="10"/>
  <c r="D112" i="10" l="1"/>
  <c r="G112" i="10" l="1"/>
  <c r="G129" i="10" l="1"/>
  <c r="E122" i="10"/>
  <c r="E165" i="10" s="1"/>
  <c r="F122" i="10"/>
  <c r="E123" i="10"/>
  <c r="E166" i="10" s="1"/>
  <c r="D122" i="10"/>
  <c r="D165" i="10" s="1"/>
  <c r="D123" i="10"/>
  <c r="D166" i="10" s="1"/>
  <c r="A51" i="10"/>
  <c r="A162" i="10"/>
  <c r="A124" i="10"/>
  <c r="A125" i="10" s="1"/>
  <c r="A127" i="10" s="1"/>
  <c r="A128" i="10" s="1"/>
  <c r="A113" i="10"/>
  <c r="F165" i="10" l="1"/>
  <c r="F164" i="10" s="1"/>
  <c r="E164" i="10"/>
  <c r="G123" i="10"/>
  <c r="G122" i="10"/>
  <c r="F121" i="10"/>
  <c r="D121" i="10"/>
  <c r="E121" i="10"/>
  <c r="G57" i="10"/>
  <c r="G121" i="10" l="1"/>
  <c r="G165" i="10"/>
  <c r="D164" i="10"/>
  <c r="G14" i="10" l="1"/>
  <c r="G166" i="10" l="1"/>
  <c r="G164" i="10"/>
  <c r="G13" i="10"/>
</calcChain>
</file>

<file path=xl/sharedStrings.xml><?xml version="1.0" encoding="utf-8"?>
<sst xmlns="http://schemas.openxmlformats.org/spreadsheetml/2006/main" count="521" uniqueCount="308">
  <si>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</si>
  <si>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</si>
  <si>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</si>
  <si>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</si>
  <si>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</si>
  <si>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</si>
  <si>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</si>
  <si>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</si>
  <si>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</si>
  <si>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</si>
  <si>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Предоставление информации о состоянии окружающей среды, ее загрязнении, в том числе экстренной информацией об опасных природных явлениях и экстремально высоком загрязнении окружающей среды, а также повышение качества и своевременности предупреждений об опасных природных (гидрометеорологических) явлениях</t>
  </si>
  <si>
    <t>Бюджет Республики Татарстан</t>
  </si>
  <si>
    <t>Ежегодный анализ и оценка ресурсной базы нефти и газа нефтяных месторождений Республики Татарстан за 2013-2019 годы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</si>
  <si>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</si>
  <si>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учёт</t>
  </si>
  <si>
    <t>Ведение мониторинга подземных вод на территории Республики Татарстан на территориальном уровне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</si>
  <si>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</si>
  <si>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Реализация переданных Республике Татарстан отдельных полномочий Российской Федерации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</si>
  <si>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</si>
  <si>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</si>
  <si>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</si>
  <si>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Подпрограмма 6 «Воспроизводство и использование охотничьих ресурсов Республики Татарстан на 2014-2020 годы»</t>
  </si>
  <si>
    <t>Подпрограмма 7 «Координирование деятельности служб в сфере охраны окружающей среды и природопользования Республики Татарстан на 2014-2020 годы»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</si>
  <si>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</si>
  <si>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</si>
  <si>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</si>
  <si>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</si>
  <si>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</si>
  <si>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93-95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</si>
  <si>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</si>
  <si>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</si>
  <si>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</si>
  <si>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Подготовка и выпуск телепередач (телесюжетов) по экологической тематике на центральных республиканских телеканалах</t>
  </si>
  <si>
    <t>Доля населения Республики Татарстан, имеющего доступ к достоверной информации о состоянии окружающей среды, процентов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</si>
  <si>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</si>
  <si>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</si>
  <si>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</si>
  <si>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</si>
  <si>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</si>
  <si>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</si>
  <si>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</si>
  <si>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</si>
  <si>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Количество отобранных проб внешней среды (вода, воздух и почва), шт.</t>
  </si>
  <si>
    <t>Количество проведённых лабораторных анализов отобранных проб внешней среды (вода, воздух и почва), шт.</t>
  </si>
  <si>
    <t>Источник финансиро-вания (всего, в т.ч. бюджет РФ, бюджет РТ, местный бюджет, внебюджет. источн.)</t>
  </si>
  <si>
    <t>Всего **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</si>
  <si>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</si>
  <si>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</si>
  <si>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</si>
  <si>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</si>
  <si>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</si>
  <si>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</si>
  <si>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</si>
  <si>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Наименование подпрограмм (раздела, мероприятия)**</t>
  </si>
  <si>
    <t xml:space="preserve">Экологическая реабилитация пруда "Адмиралтейский" в г. Казани </t>
  </si>
  <si>
    <t>70</t>
  </si>
  <si>
    <t xml:space="preserve">Организация мероприятий по сбору, хранению и вывозу биологических отходов на территории Сабинского муниципального района 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</si>
  <si>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</si>
  <si>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</si>
  <si>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Доля использованных, обезвреженных отходов в общем объеме образовавшихся в процессе производства и потребления, процентов*</t>
  </si>
  <si>
    <t>План на следую-щий год</t>
  </si>
  <si>
    <t xml:space="preserve">Процент выполне-ния </t>
  </si>
  <si>
    <t>Ведущий советник отдела экономики охраны окружающей среды Шляхтина О.В., 8(843)267-68-38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</si>
  <si>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Казани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</si>
  <si>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Нижнекамске</t>
  </si>
  <si>
    <t>Организация и проведение ежегодного республиканского конкурса "Эколидер"</t>
  </si>
  <si>
    <t>Подготовка и трансляция видеороликов на экологическую тематику на городских и центральных республиканских телеканалах</t>
  </si>
  <si>
    <t xml:space="preserve">Разработка и выпуск детских изданий по изучению окружающей среды </t>
  </si>
  <si>
    <t>Подготовка и проведение конкурса #ЭКОВЕСНА в период проведения двухмесячника</t>
  </si>
  <si>
    <t>Доля обработанных (прошедших процедуру сортировки) ТКО от общего количества образовавшихся ТКО, процентов*</t>
  </si>
  <si>
    <t>Доля населенных пунктов Республики Татарстан, включенных в систему централизованного сбора ТКО (обеспеченных предоставлением коммунальной услуги по сбору и транспортированию ТКО), процентов*</t>
  </si>
  <si>
    <t>Доля вторичных ресурсов, извлеченных в процессе раздельного сбора и обработки (сортировки) ТКО, от общего количества образовавшихся ТКО, процентов*</t>
  </si>
  <si>
    <t xml:space="preserve">Доля ТКО, термически обезвреженных с генерацией электрической и (или) тепловой энергии, утилизированных в RDF, от общего количества образовавшихся ТКО, процентов*
</t>
  </si>
  <si>
    <t>Доля контейнерных площадок, оборудованных для осуществления раздельного сбора ТКО, процентов*</t>
  </si>
  <si>
    <t>Количество действующих пунктов приема утильсырья (вторичных ресурсов), штук*</t>
  </si>
  <si>
    <t>Выделение приоритетных показателей и компонентов химического состава подземных вод различных гидрогеохимических провинций на территории Республики Татарстан с развитием некондиционных вод природного и техногенного происхождения</t>
  </si>
  <si>
    <t>Ведение республиканского банка цифровой информации по геологии и недропользованию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</si>
  <si>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</si>
  <si>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Доля заявок, поступивших в государственную информационную систему «Народный контроль», которым присвоен статус «Заявка решена», процентов</t>
  </si>
  <si>
    <t>50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</si>
  <si>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</si>
  <si>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</si>
  <si>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выполненных Министерством экологии и природных ресурсов Республики Татарстан в установленные контрольные сроки поручений Президента Республики Татарстан,           Премьер-министра Республики Татарстан, Руководителя Аппарата Президента Республики Татарстан, заместителей Премьер-министра Республики Татарстан в общем объеме поручений, для которых указанными лицами установлен срок выполнения, процентов</t>
  </si>
  <si>
    <t>Доля выполненных Министерством экологии и природных ресурсов Республики Татарстан в установленные контрольные сроки поручений Президента Республики Татарстан,           Премьер-министра Республики Татарстан, Руководителя Аппарата Президента Республики Татарстан, заместителей Премьер-министра Республики Татарстан по рассмотрению обращений граждан в общем объеме поручений по рассмотрению обращений граждан, для которых указанными лицами установлен срок выполнения, процентов</t>
  </si>
  <si>
    <t>Доля выполненных Министерством экологии и природных ресурсов Республики Татарстан персонифицированных поручений, данных в законах Республики Татарстан, указах Президента Республики Татарстан, постановлениях и распоряжениях Кабинета Министров Республики Татарстан, в общем количестве персонифицированных поручений, данных в указанных нормативных актах, в том числе доля своевременно обновленных отчетов от общего количества регламентных публикаций отчетов в системе "Открытый Татарстан", процентов</t>
  </si>
  <si>
    <t>Доля согласованных в регламентные сроки проектов постановлений и распоряжений Кабинета Министров Республики Татарстан, процентов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</si>
  <si>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источников,  процентов*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</si>
  <si>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</t>
  </si>
  <si>
    <t>Доля загрязненных (без очистки) сточных вод в общем объеме водоотведения, процентов*</t>
  </si>
  <si>
    <t>Доля рекультивируемых земель, процентов*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</si>
  <si>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</si>
  <si>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</si>
  <si>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</si>
  <si>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</si>
  <si>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</si>
  <si>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</si>
  <si>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</si>
  <si>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Доля устраненных нарушений из числа выявленных нарушений в сфере природопользования и охраны окружающей среды, процентов</t>
  </si>
  <si>
    <t>Количество исходящих документов в сфере экологического нормирования, касающегося государственного регулирования негативного воздействия на окружающую среду, единиц</t>
  </si>
  <si>
    <t>Плановые объёмы финансирования на отчётный год (в соотв. с Законом о бюджете РТ), тыс.руб.</t>
  </si>
  <si>
    <t>Объемы финансирования на отчетный год в соответ-ствии с лимитами бюджетных обязательств и средствами из внебюдж.источ-ников, тыс.руб.</t>
  </si>
  <si>
    <t>Обоснование границ землеотводов на территориях месторождений с оцененными эксплуатационными запасами подземных вод с целью резервирования земель для строительства водозаборов подземных вод (с учетом сложившейся санитарной, водохозяйственной обстановки и условий современного землепользования)</t>
  </si>
  <si>
    <t>Актуализация и ведение базы пространственных данных объектов недропользования, месторождений и проявлений общераспространенных полезных ископаемых находящихся на водных объектах Республики Татарстан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</si>
  <si>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</si>
  <si>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</si>
  <si>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Количество крупных городов Республики Татарстан, охваченных сводными расчетами загрязнения атмосферного воздуха, единиц</t>
  </si>
  <si>
    <t>Доля подтвержденности прогнозов и предупреждений о неблагоприятных явлениях (тенденциях), связанных с состоянием окружающей среды, ее загрязнением, процентов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</si>
  <si>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</si>
  <si>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</si>
  <si>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</si>
  <si>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</t>
  </si>
  <si>
    <t>Выполнение Государственного заказа на управление в сфере охраны окружающей среды и природопользования, процентов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</si>
  <si>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</si>
  <si>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</si>
  <si>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</si>
  <si>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</si>
  <si>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Дооснащение стационарных и передвижных постов наблюдений за состоянием атмосферного воздуха</t>
  </si>
  <si>
    <t>Разработка методических указаний по установлению региональных нормативов фонового содержания загрязняющих веществ в донных отложениях водных объектов Республики Татарстан</t>
  </si>
  <si>
    <t>Приобретение станций автоматических метеорологических для автоматизированных постов наблюдений за загрязнением атмосферного воздуха</t>
  </si>
  <si>
    <t>Проведение инвентаризации объема выбросов и поглощения парниковых газов на территории Республики Татарстан</t>
  </si>
  <si>
    <t>Создание тематических экологических изданий Республики Татарстан</t>
  </si>
  <si>
    <t>Проведение эколого-практических мероприятий</t>
  </si>
  <si>
    <t>Издание настольной деловой эколого-просветительской игры «МИБ» (министр, инспектор, бизнесмен)</t>
  </si>
  <si>
    <t xml:space="preserve">Организация и проведение экологической акции среди населения по сбору отработанных химических источников тока (батареек) </t>
  </si>
  <si>
    <t>Бюджет Республики Татарстан, РКМ РТ от 19.02.2018 № 334-р</t>
  </si>
  <si>
    <t>Приобретение оборудования для эколого-аналитического контроля за состоянием окружающей среды</t>
  </si>
  <si>
    <t>Постановка на государственный кадастровый учет свободных земельных участокв, расположенных в 50-метровой береговой полосе Куйбышевского и Нижнекамского водохранилищ,  в пределах Агрызского, Актанышского, Алексеевского, Мамадышского, Менделеевского, Мензелинского, Рыбно-Слободского, Спасского, Тетюшского муниципальных районов</t>
  </si>
  <si>
    <t>Капитальный ремонт гидротехнических сооружений пруда у села Большое Ходяшево Нижневязовского городского поселения Зеленодольского муниципального района Республики Татарстан</t>
  </si>
  <si>
    <t>Капитальный ремонт гидротехнических сооружений у села Ташкирмень Макаровского сельского поселения Лаишевского муниципального района Республики Татарстан</t>
  </si>
  <si>
    <t>Капитальный ремонт гидротехнических сооружений  у села Нурлаты Зеленодольского муниципального района Республики Татарстан</t>
  </si>
  <si>
    <t>Очистка и благоустройство озера в жилом массиве Салмачи г.Казани</t>
  </si>
  <si>
    <t>Бюджет Республики Татарстан, РКМ РТ от 05.02.2018 № 199-р</t>
  </si>
  <si>
    <t>* Значение индикатора расчитывается по итогам года, фактическое значение будет уточнено по итогам статистической годовой отчетности не раньше мая 2019 года.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</si>
  <si>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процентов*</t>
  </si>
  <si>
    <t>Количество выявленных перспективных участков общераспространенных полезных ископаемых, единиц*</t>
  </si>
  <si>
    <t>Соотношение площади территории, охваченной мониторингом геологической среды к общей площади территории Республики Татарстан, процентов *</t>
  </si>
  <si>
    <t>Отношение количества муниципальных районов Республики Татарстан, охваченных мониторингом опасных экзогенных геологических процессов (ОЭГП), к количеству муниципальных районов Республики Татарстан, подверженных негативному влиянию ОЭГП, процентов*</t>
  </si>
  <si>
    <t>Соотношение утвержденных запасов подземных вод и их прогнозных эксплуатационных ресурсов, процентов*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</si>
  <si>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</si>
  <si>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Доля ГТС с неудовлетворительным и опасным уровнем безопасности, приведенных в безопасное техническое состояние,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</si>
  <si>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</si>
  <si>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чел.*</t>
  </si>
  <si>
    <t>Площадь работ по восстановлению и экологической реабилитации водных объектов, тыс.м2*</t>
  </si>
  <si>
    <t>Доля площади Республики Татарстан, занятой ООПТ всех уровней, в общей площади Республики Татарстан, процентов*</t>
  </si>
  <si>
    <t>Доля площади Республики Татарстан, занятой особо охраняемыми природными территориями регионального и местного значения, процентов*</t>
  </si>
  <si>
    <t>Количество видов, занесенных в  Красную книгу Республики Татарстан, штук*</t>
  </si>
  <si>
    <t>Количество видов, занесенных в  Красную книгу Республики Татарстан, переведенных в более "низкую" категорию редкости, штук*</t>
  </si>
  <si>
    <t>Количество видов, выведенных из Красной книги Республики Татарстан, штук*</t>
  </si>
  <si>
    <t>Количество учащихся, охваченных лекциями и иными публичными мероприятиями по вопросам ООПТ, чел.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</si>
  <si>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процентов*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</si>
  <si>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ответственности, к общему количеству установленных фактов нарушений, процентов*</t>
  </si>
  <si>
    <t>Доля площади охотничьих угодий, на которых проведено внутрихозяйственное охотустройство, в общей площади охотничьих угодий, процентов *</t>
  </si>
  <si>
    <t>Площадь акватории, очищенной от брошенных орудий лова (вылова), кв.м.*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</si>
  <si>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</si>
  <si>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Ежегодный утвержденный баланс запасов общераспространенных полезных ископаемых Республики Татарстан, 1 баланс (ежегодно до 2020 г.)*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</si>
  <si>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</si>
  <si>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</si>
  <si>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>Расходы консолидированного бюджета Республики Татарстан на охрану окружающей среды, воспроизводство и использование природных ресурсов в расчете на одного жителя, рублей*</t>
  </si>
  <si>
    <t>Доработка территориальной схемы в области обращения с отходами, в том числе с твердыми коммунальными отходами, Республики Татарстан</t>
  </si>
  <si>
    <t xml:space="preserve">Разработка проектно-сметной документации "Реконструкция ограждающей дамбы на левом берегу р. Кама в пределах Елабужского муниципального района Республики Татарстан на участке береговой полосы 2107 м" </t>
  </si>
  <si>
    <t xml:space="preserve">Разработка проектно-сметной документации "Берегоукрепление р.Камы Куйбышевского водохранилища в с.Именьково Лаишевского муниципального района Республики Татарстан" </t>
  </si>
  <si>
    <t xml:space="preserve">Капитальный ремонт гидротехнических сооружений н.п.Кутлушкино Чистопольского муниципального района </t>
  </si>
  <si>
    <t xml:space="preserve">Капитальный ремонт гидротехнических сооружений пруда у с.Старые Кутуши Черемшанского муниципального района </t>
  </si>
  <si>
    <t xml:space="preserve">Очистка озера в пос.Приволжский Спасского муниципального района </t>
  </si>
  <si>
    <t>Приобретение неисключительных прав на программный комплекс для выполнения сводных расчетов загрязнения атмосферного воздуха</t>
  </si>
  <si>
    <t>Преобразование в электронный вид геологических отчетов и графических приложений к геологическим отчетам на бумажных носителях, находящихся на хранении в  фонде геологической информации Министерства экологии и природных ресурсов Республики Татарстан</t>
  </si>
  <si>
    <t>Размещение научных статей в журнале "Георесурсы"</t>
  </si>
  <si>
    <t>Определение зон затопления, подтопления на территориях населенных пунктов Республики Татарстан</t>
  </si>
  <si>
    <t>Приобретение 5 специализированных передвижных экологических лабораторий</t>
  </si>
  <si>
    <t>Оплата услуг по установке эколого-аналитического и вспомогательного оборудования на специализированные передвижные экологические лаборатории</t>
  </si>
  <si>
    <t>Приобретение приборов и оборудования для аналитического контроля качества объектов окружающей среды</t>
  </si>
  <si>
    <t>Разработка региональных нормативов фонового содержания загрязняющих веществ в донных отложениях водных объектов Республики Татарстан</t>
  </si>
  <si>
    <t>Проведение научно-исследовательских работ в области охраны окружающей среды</t>
  </si>
  <si>
    <t xml:space="preserve">Приобретение газоанализаторов для контроля бензиновых автомобилей  и дымомеров для контроля дизельных автомобилей </t>
  </si>
  <si>
    <t>18МЭ-1с от 29.01.2018</t>
  </si>
  <si>
    <t>ФГБУ "УГМС Республики Татарстан"</t>
  </si>
  <si>
    <t>18МЭ-4с от 08.05.2018</t>
  </si>
  <si>
    <t>ОТКРЫТОЕ АКЦИОНЕРНОЕ ОБЩЕСТВО "ЛИГА"
(6454007505)</t>
  </si>
  <si>
    <t>18МЭ-2с от 22.02.2018</t>
  </si>
  <si>
    <t xml:space="preserve">ИП БАРГАНОВА ТАТЬЯНА ЛЕОНИДОВНА </t>
  </si>
  <si>
    <t>«Поддержка волонтерского, общественного экологического движения в Республике Татарстан» Лот «Организация и проведение массовых природоохранных, эколого-просветительских мероприятий в 43 муниципальных районах и 2 городских округах  Республики Татарстан»</t>
  </si>
  <si>
    <t>«Поддержка волонтерского, общественного экологического движения в Республике Татарстан» на тему «Организация и проведение комплекса мероприятий по изучению, мониторингу, санитарной очистке и благоустройству водных объектов и организация республиканского конкурса экологических проектов среди учащихся образовательных учреждений Республики Татарстан»</t>
  </si>
  <si>
    <t>18МЭ-3с от 27.02.2018</t>
  </si>
  <si>
    <t>ТРО МООО "РСО"</t>
  </si>
  <si>
    <t>18МЭ-10с от 08.06.2018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</si>
  <si>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</si>
  <si>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18МЭ-5с от 18.05.2018</t>
  </si>
  <si>
    <t>Кузнецов  Никита  Владимирович
(526022607170)</t>
  </si>
  <si>
    <t>Разработка электронной модели Территориальной схемы в области обращения с отходами, в т.ч. с твердыми коммунальными отходами, Республики Татарстан</t>
  </si>
  <si>
    <t>РКМ РТ от 26.04.2018 № 991-р</t>
  </si>
  <si>
    <t>Оплата расходов, связанных с утилизацией донных отложений пруда "Адмиралтейский" в г.Казани</t>
  </si>
  <si>
    <t>Разработка проектно-сметной документации на водоохранные мероприятия и мероприятия по предотвращения негативного воздействия вод на территории Республики Татарстан</t>
  </si>
  <si>
    <t>9</t>
  </si>
  <si>
    <t>10</t>
  </si>
  <si>
    <t>11</t>
  </si>
  <si>
    <t>12</t>
  </si>
  <si>
    <t>Количество изданий по вопросам ООПТ, шт.</t>
  </si>
  <si>
    <t>Выполнение государственных программ государственным заказчиком-координатором, процентов*</t>
  </si>
  <si>
    <t>Доля взысканных средств от наложенных штрафов, процентов</t>
  </si>
  <si>
    <t>Количество выпусков журнала "Георесурсы", в которых размещены научные статьи, выпусков*</t>
  </si>
  <si>
    <t>Согласование Президента РТ №27004-РМ от 23.05.2018</t>
  </si>
  <si>
    <t>Количество разработанных и введеных в действие региональных нормативов качества почв, шт.*</t>
  </si>
  <si>
    <t>Капитальный ремонт гидротехнических сооружений (субсидии), в том числе:</t>
  </si>
  <si>
    <t>Отчет о реализации Программы за январь - сентябрь 2018 года</t>
  </si>
  <si>
    <t>Проведение научно-исследовательских работ на тему: "Инвентаризация и экологическая оценка природных ресурсов островов Куйбышевского водохранилища в пределах Республики Татарстан"</t>
  </si>
  <si>
    <t xml:space="preserve">Геологическое доизучение участков действующих водозаборов в с.Сарманово с целью оценки возможности увеличения их производительности </t>
  </si>
  <si>
    <t>18МЭ-11с от 18.06.2018</t>
  </si>
  <si>
    <t>ООО "Компания "Интеграл""
(7842004070)</t>
  </si>
  <si>
    <t>18МЭ-24с от 31.08.2018</t>
  </si>
  <si>
    <t>Институт проблем экологии и недропользования Академии наук Республики Татарстан (обособленное подразделение ГНБУ "Академия наук РТ")
ИНН: 1654008987</t>
  </si>
  <si>
    <t>18МЭ-25с от 31.08.2018</t>
  </si>
  <si>
    <t xml:space="preserve">Проведение конференции по вопросам методического и лабораторного обеспечения совместного российско-китайского мониторинга качества вод трансграничных водных объектов 23-25 июля 2018 года </t>
  </si>
  <si>
    <t>РКМ РТ от 04.07.2018 № 1617-р</t>
  </si>
  <si>
    <t>Проведение бассейнового совета Нижневолжского бассейнового округа в сентябре 2018 года</t>
  </si>
  <si>
    <t>Проведение IX заседания рабочей группы по мониторингу качества и охране трансграничных вод Совместной Российско-Китайской комиссии по рациональному использованию и охране трансграничных вод 26-28 июля 2018 года</t>
  </si>
  <si>
    <t>ОАО"КАЗАНСКАЯ ЯРМАРКА"</t>
  </si>
  <si>
    <t>18МЭ-15с от  20.07.18, 18МЭ-17с от  20.07.18</t>
  </si>
  <si>
    <t>18МЭ-16с от  20.07.18, 18МЭ-18с от  20.07.18</t>
  </si>
  <si>
    <t>18МЭ-6с от 22.05.2018</t>
  </si>
  <si>
    <t>Общество с ограниченной ответственностью «БАРСИНВЕСТ»
(1655377578)</t>
  </si>
  <si>
    <t>18МЭ-7с от 29.05.2018</t>
  </si>
  <si>
    <t>ООО "ФАВОРИТ""
(3666218220)</t>
  </si>
  <si>
    <t>7 чел</t>
  </si>
  <si>
    <t>Дог.№ 107 от 04.06.2018, Дог.№ 112 от 27.06.2018, Дог.№ 116 от 04.07.2018, 18МЭ-20с от 07.08.2018</t>
  </si>
  <si>
    <t>ГНБУ "Академия наук РТ", ООО "Фолиант", ООО "КОНСТАНТА"</t>
  </si>
  <si>
    <t>18МЭ-19с от 10.08.2018</t>
  </si>
  <si>
    <t>АНО "ДИРЕКЦИЯ МЕЖДУНАРОДНЫХ ПРОГРАММ"</t>
  </si>
  <si>
    <t>Дог. № 162 от 14.09.2018</t>
  </si>
  <si>
    <t>ООО "Эс Ай ТИ"</t>
  </si>
  <si>
    <t>18МЭ-12с от 26.06.2018</t>
  </si>
  <si>
    <t>18МЭ-22с от 17.08.2018</t>
  </si>
  <si>
    <t xml:space="preserve"> ООО фирма 'Фантазия'</t>
  </si>
  <si>
    <t>18МЭ-23с от 20.08.2018</t>
  </si>
  <si>
    <t xml:space="preserve"> ООО НИИ БЖД</t>
  </si>
  <si>
    <t xml:space="preserve"> ООО 'Автоспектр-НН',              ИНН 5262096122,                           г. Нижний Новгород</t>
  </si>
  <si>
    <t xml:space="preserve"> 2018.44908 от 27.08.2018</t>
  </si>
  <si>
    <t>18МЭ-27с от 04.10.2018</t>
  </si>
  <si>
    <t>Институт проблем экологии и недропользования Академии наук Республики Татарстан</t>
  </si>
  <si>
    <t>ООО «Асторг»</t>
  </si>
  <si>
    <t>минсвязи</t>
  </si>
  <si>
    <t>18МЭ-9с от 29.05.2018</t>
  </si>
  <si>
    <t>Шайдуллин  Марат  Наилевич
(165714016920)</t>
  </si>
  <si>
    <t>18МЭ-8с от 29.05.2018</t>
  </si>
  <si>
    <t>Общество с ограниченной ответственностью "Татарстан 24"
(1656069350)</t>
  </si>
  <si>
    <t>18МЭ-26с от 17.09.2018</t>
  </si>
  <si>
    <t>ООО "Поволжская экологическая компания"</t>
  </si>
  <si>
    <t>Бюджет РТ, РКМ РТ от 19.04.2018 № 910-р</t>
  </si>
  <si>
    <t>Бюджет РТ, РКМ РТ от 19.02.2018 № 334-р, РКМ РТ от 19.09.2018 № 2481-р</t>
  </si>
  <si>
    <t>Капитальный ремонт ГТС пруда у с.Уразаево Азнакаевского  муниципального   района  Республики Татарстан</t>
  </si>
  <si>
    <t>Капитальный ремонт ГТС пруда у с.Буралы Азнакаевского муниципального района  Республики Татарстан</t>
  </si>
  <si>
    <t>Капитальный ремонт ГТС пруда у с. Новое Ильмово Дрожжановского муниципального района  Республики Татарстан</t>
  </si>
  <si>
    <t>Капитальный ремонт ГТС пруда №2 у с. Старые Кутуши Черемшанского  муниципального района Республики Татарстан</t>
  </si>
  <si>
    <t>Капитальный ремонт ГТС пруда у с.Штырь Арского муниципального района Республики Татарстан</t>
  </si>
  <si>
    <t>Капитальный ремонт ГТС пруда у д.Старая Юльба Арского муниципального района Республики Татарстан</t>
  </si>
  <si>
    <t>Капитальный ремонт ГТС пруда у с.Зубаирово Актанышского муниципального района Республики Татарстан</t>
  </si>
  <si>
    <t>Капитальный ремонт ГТС пруда у с.Бегишево Заинского муниципального района Республики Татарстан</t>
  </si>
  <si>
    <t xml:space="preserve">Капитальный ремонт ГТС пруда у с.Нижнее Бишево Заинского муниципального района Республики Татарстан </t>
  </si>
  <si>
    <t>Капитальный ремонт ГТС пруда у д.Старое Альметьево Муслюмовского муниципального района  Республики Татарстан</t>
  </si>
  <si>
    <t>Капитальный ремонт ГТС пруда у д.Сикия  Муслюмовского  муниципального района Республики Татарстан</t>
  </si>
  <si>
    <t>Бюджет Республики Татарстан, РКМ РТ от 21.09.2018 № 2520-р</t>
  </si>
  <si>
    <t>Капитальный ремонт ГТС пруда у с.Верхняя Чегодайка Черемшанского мунипального района</t>
  </si>
  <si>
    <t>Капитальный ремонт ГТС пруда у н.п. Верхний Таканыш Мамадышского муниципального района Республики Татарстан</t>
  </si>
  <si>
    <t>Расчистка и спрямление русла с благоустройством поймы р. Сабинки с культуртехническими работами в пгт.Богатые Сабы Сабинского муниципального района</t>
  </si>
  <si>
    <t>Расчистка и спрямление русла р. Деревенский у с. Верхняя Чегодайка Черемшанского муниципального района Республики Татарстан</t>
  </si>
  <si>
    <t>Протяженность работ по восстановлению и экологической реабилитации водных объектов, км</t>
  </si>
  <si>
    <t>Защита земель от эрозионных процессов в районе пруда, расположенного возле "кордона Тарасова" Буинского муниципального района Республики Татарстан</t>
  </si>
  <si>
    <t>Берегоукрепление р. Тойменки у с.Туембаш Кукморского муниципального района РТ</t>
  </si>
  <si>
    <t>Протяженность новых и реконструированных сооружений инженерной защиты и берегоукрепления, км</t>
  </si>
  <si>
    <t>1,6 км</t>
  </si>
  <si>
    <t>метров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</si>
  <si>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 метров</t>
  </si>
  <si>
    <t>Обустройство родника у с.Новые Тинчали Буинского муниципального района Республики Татарстан</t>
  </si>
  <si>
    <t>8.1</t>
  </si>
  <si>
    <t>8.2</t>
  </si>
  <si>
    <t>8.3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</si>
  <si>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</si>
  <si>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</si>
  <si>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</si>
  <si>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</si>
  <si>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</si>
  <si>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</si>
  <si>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</si>
  <si>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</si>
  <si>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</si>
  <si>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</si>
  <si>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</si>
  <si>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</si>
  <si>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</si>
  <si>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</si>
  <si>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</si>
  <si>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</si>
  <si>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</si>
  <si>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</si>
  <si>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</si>
  <si>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Подпрограмма 1 «Регулирование качества окружающей среды Республики Татарстан на 2014-2021 годы»</t>
  </si>
  <si>
    <t xml:space="preserve">Подпрограмма 2 «Государственное управление в сфере обращения отходов производства и потребления в Республике Татарстан на 2014-2021 годы»     </t>
  </si>
  <si>
    <t>Подпрограмма 3 «Государственное управление в сфере недропользования Республики Татарстан на 2014-2021 годы»</t>
  </si>
  <si>
    <t>Подпрограмма 4 «Развитие водохозяйственного комплекса Республики Татарстан на 2014-2021 годы»</t>
  </si>
  <si>
    <t>Подпрограмма 5 «Биологическое разнообразие Республики Татарстан на 2014-2021 годы»</t>
  </si>
  <si>
    <t>Доля облагороженных земельных участков от общей площади загрязненных земельных участков в результате несанкционированного размещения отходов производства и потребления, процентов</t>
  </si>
  <si>
    <t>85</t>
  </si>
  <si>
    <t>Эффективность регионального государственного экологического надзора, тыс.рублей</t>
  </si>
  <si>
    <t>1</t>
  </si>
  <si>
    <t>Доля предупреждений в общем количестве административных наказаний,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</si>
  <si>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</si>
  <si>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** Наименования и лимиты финансирования мероприятий Программы указаны с учетом постановления КМ РТ "О внесении изменений в Программу, утвержденную ПКМ РТ от 28.12.2013 № 1083 "Об утверждении государственной программы "Охрана окружающей среды, воспроизводство и использование природных ресурсов РТ на 2014-2021 годы" от 27.09.2018 № 326, а также с учетом согласований с Президентом РТ №27004-РМ от 23.05.2018, № 32701-МР от 19.06.2018, РКМ РТ от 04.07.2018, РКМ РТ от 19.09.2018 № 2481-р, РКМ РТ от 21.09.2018 № 2520-р.</t>
  </si>
  <si>
    <t>Государственная программа «Охрана окружающей среды, воспроизводство и использование природных ресурсов Республики Татарстан на 2014 – 2021 годы» (далее - Программа)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</si>
  <si>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 на 2014 – 2021 годы», в ред. ПКМ РТ от 27.09.2018 № 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</si>
</sst>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1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7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38">
    <xf numFmtId="0" fontId="0" fillId="0" borderId="0" xfId="0"/>
    <xf numFmtId="0" fontId="22" fillId="24" borderId="0" xfId="0" applyFont="1" applyFill="1"/>
    <xf numFmtId="0" fontId="24" fillId="24" borderId="0" xfId="0" applyFont="1" applyFill="1"/>
    <xf numFmtId="0" fontId="22" fillId="24" borderId="0" xfId="0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4" fontId="24" fillId="24" borderId="0" xfId="0" applyNumberFormat="1" applyFont="1" applyFill="1"/>
    <xf numFmtId="0" fontId="26" fillId="24" borderId="10" xfId="0" applyFont="1" applyFill="1" applyBorder="1" applyAlignment="1">
      <alignment vertical="top" wrapText="1"/>
    </xf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167" fontId="24" fillId="24" borderId="10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vertical="top" wrapText="1"/>
    </xf>
    <xf numFmtId="0" fontId="25" fillId="24" borderId="13" xfId="0" applyFont="1" applyFill="1" applyBorder="1" applyAlignment="1">
      <alignment vertical="top"/>
    </xf>
    <xf numFmtId="0" fontId="25" fillId="24" borderId="14" xfId="0" applyFont="1" applyFill="1" applyBorder="1" applyAlignment="1">
      <alignment vertical="top"/>
    </xf>
    <xf numFmtId="167" fontId="25" fillId="24" borderId="14" xfId="1" applyNumberFormat="1" applyFont="1" applyFill="1" applyBorder="1" applyAlignment="1">
      <alignment vertical="top" wrapText="1"/>
    </xf>
    <xf numFmtId="167" fontId="25" fillId="24" borderId="13" xfId="0" applyNumberFormat="1" applyFont="1" applyFill="1" applyBorder="1" applyAlignment="1">
      <alignment vertical="top"/>
    </xf>
    <xf numFmtId="167" fontId="25" fillId="24" borderId="14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2" fontId="4" fillId="24" borderId="12" xfId="0" applyNumberFormat="1" applyFont="1" applyFill="1" applyBorder="1" applyAlignment="1">
      <alignment vertical="top" wrapText="1"/>
    </xf>
    <xf numFmtId="4" fontId="4" fillId="24" borderId="13" xfId="1" applyNumberFormat="1" applyFont="1" applyFill="1" applyBorder="1" applyAlignment="1">
      <alignment vertical="top" wrapText="1"/>
    </xf>
    <xf numFmtId="2" fontId="4" fillId="24" borderId="13" xfId="0" applyNumberFormat="1" applyFont="1" applyFill="1" applyBorder="1" applyAlignment="1">
      <alignment vertical="top" wrapText="1"/>
    </xf>
    <xf numFmtId="2" fontId="4" fillId="24" borderId="14" xfId="0" applyNumberFormat="1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0" fillId="24" borderId="10" xfId="0" applyFont="1" applyFill="1" applyBorder="1"/>
    <xf numFmtId="0" fontId="0" fillId="24" borderId="0" xfId="0" applyFont="1" applyFill="1" applyBorder="1"/>
    <xf numFmtId="4" fontId="25" fillId="24" borderId="14" xfId="1" applyNumberFormat="1" applyFont="1" applyFill="1" applyBorder="1" applyAlignment="1">
      <alignment vertical="top" wrapText="1"/>
    </xf>
    <xf numFmtId="4" fontId="25" fillId="24" borderId="19" xfId="1" applyNumberFormat="1" applyFont="1" applyFill="1" applyBorder="1" applyAlignment="1">
      <alignment vertical="top" wrapText="1"/>
    </xf>
    <xf numFmtId="4" fontId="25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5" fillId="24" borderId="10" xfId="0" applyNumberFormat="1" applyFont="1" applyFill="1" applyBorder="1" applyAlignment="1">
      <alignment horizontal="center" vertical="top" wrapText="1"/>
    </xf>
    <xf numFmtId="167" fontId="25" fillId="24" borderId="10" xfId="0" applyNumberFormat="1" applyFont="1" applyFill="1" applyBorder="1" applyAlignment="1">
      <alignment horizontal="center" vertical="top"/>
    </xf>
    <xf numFmtId="0" fontId="25" fillId="24" borderId="0" xfId="0" applyFont="1" applyFill="1" applyBorder="1" applyAlignment="1">
      <alignment vertical="top"/>
    </xf>
    <xf numFmtId="0" fontId="22" fillId="24" borderId="12" xfId="0" applyFont="1" applyFill="1" applyBorder="1" applyAlignment="1">
      <alignment horizontal="center" vertical="top"/>
    </xf>
    <xf numFmtId="0" fontId="26" fillId="24" borderId="12" xfId="0" applyFont="1" applyFill="1" applyBorder="1" applyAlignment="1">
      <alignment vertical="top" wrapText="1"/>
    </xf>
    <xf numFmtId="4" fontId="25" fillId="24" borderId="0" xfId="0" applyNumberFormat="1" applyFont="1" applyFill="1" applyAlignment="1">
      <alignment horizontal="center" vertical="top" wrapText="1"/>
    </xf>
    <xf numFmtId="4" fontId="25" fillId="24" borderId="22" xfId="1" applyNumberFormat="1" applyFont="1" applyFill="1" applyBorder="1" applyAlignment="1">
      <alignment vertical="top" wrapText="1"/>
    </xf>
    <xf numFmtId="4" fontId="25" fillId="24" borderId="14" xfId="0" applyNumberFormat="1" applyFont="1" applyFill="1" applyBorder="1" applyAlignment="1">
      <alignment horizontal="center" vertical="top" wrapText="1"/>
    </xf>
    <xf numFmtId="4" fontId="0" fillId="24" borderId="0" xfId="0" applyNumberFormat="1" applyFont="1" applyFill="1" applyAlignment="1">
      <alignment wrapText="1"/>
    </xf>
    <xf numFmtId="4" fontId="22" fillId="24" borderId="0" xfId="0" applyNumberFormat="1" applyFont="1" applyFill="1" applyAlignment="1">
      <alignment wrapText="1"/>
    </xf>
    <xf numFmtId="4" fontId="0" fillId="24" borderId="10" xfId="0" applyNumberFormat="1" applyFont="1" applyFill="1" applyBorder="1" applyAlignment="1">
      <alignment wrapText="1"/>
    </xf>
    <xf numFmtId="4" fontId="0" fillId="24" borderId="0" xfId="0" applyNumberFormat="1" applyFont="1" applyFill="1" applyBorder="1" applyAlignment="1">
      <alignment wrapText="1"/>
    </xf>
    <xf numFmtId="4" fontId="0" fillId="24" borderId="0" xfId="0" applyNumberFormat="1" applyFont="1" applyFill="1" applyAlignment="1">
      <alignment horizontal="center" vertical="top" wrapText="1"/>
    </xf>
    <xf numFmtId="4" fontId="22" fillId="24" borderId="0" xfId="0" applyNumberFormat="1" applyFont="1" applyFill="1" applyAlignment="1">
      <alignment horizontal="center" vertical="top" wrapText="1"/>
    </xf>
    <xf numFmtId="4" fontId="0" fillId="24" borderId="10" xfId="0" applyNumberFormat="1" applyFont="1" applyFill="1" applyBorder="1" applyAlignment="1">
      <alignment horizontal="center" vertical="top" wrapText="1"/>
    </xf>
    <xf numFmtId="4" fontId="0" fillId="24" borderId="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horizontal="center" vertical="top" wrapText="1"/>
    </xf>
    <xf numFmtId="4" fontId="25" fillId="24" borderId="10" xfId="1" applyNumberFormat="1" applyFont="1" applyFill="1" applyBorder="1" applyAlignment="1">
      <alignment horizontal="center"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vertical="top"/>
    </xf>
    <xf numFmtId="0" fontId="4" fillId="24" borderId="21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vertical="top" wrapText="1"/>
    </xf>
    <xf numFmtId="1" fontId="4" fillId="24" borderId="13" xfId="0" applyNumberFormat="1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horizontal="center" vertical="top"/>
    </xf>
    <xf numFmtId="3" fontId="4" fillId="24" borderId="10" xfId="0" applyNumberFormat="1" applyFont="1" applyFill="1" applyBorder="1" applyAlignment="1">
      <alignment horizontal="center" vertical="top" wrapText="1"/>
    </xf>
    <xf numFmtId="167" fontId="4" fillId="24" borderId="10" xfId="0" applyNumberFormat="1" applyFont="1" applyFill="1" applyBorder="1" applyAlignment="1">
      <alignment horizontal="center" vertical="top" wrapText="1"/>
    </xf>
    <xf numFmtId="0" fontId="0" fillId="24" borderId="14" xfId="0" applyFont="1" applyFill="1" applyBorder="1" applyAlignment="1"/>
    <xf numFmtId="0" fontId="25" fillId="24" borderId="14" xfId="0" applyNumberFormat="1" applyFont="1" applyFill="1" applyBorder="1" applyAlignment="1">
      <alignment vertical="top" wrapText="1"/>
    </xf>
    <xf numFmtId="2" fontId="26" fillId="24" borderId="12" xfId="0" applyNumberFormat="1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vertical="top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14" xfId="0" applyNumberFormat="1" applyFont="1" applyFill="1" applyBorder="1" applyAlignment="1">
      <alignment vertical="top" wrapText="1"/>
    </xf>
    <xf numFmtId="0" fontId="24" fillId="24" borderId="20" xfId="0" applyFont="1" applyFill="1" applyBorder="1" applyAlignment="1">
      <alignment vertical="top"/>
    </xf>
    <xf numFmtId="0" fontId="24" fillId="24" borderId="21" xfId="0" applyFont="1" applyFill="1" applyBorder="1" applyAlignment="1">
      <alignment vertical="top"/>
    </xf>
    <xf numFmtId="0" fontId="22" fillId="24" borderId="10" xfId="0" applyFont="1" applyFill="1" applyBorder="1" applyAlignment="1">
      <alignment vertical="top"/>
    </xf>
    <xf numFmtId="0" fontId="24" fillId="24" borderId="18" xfId="0" applyFont="1" applyFill="1" applyBorder="1" applyAlignment="1">
      <alignment vertical="top"/>
    </xf>
    <xf numFmtId="0" fontId="24" fillId="24" borderId="19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horizontal="center" vertical="top" wrapText="1"/>
    </xf>
    <xf numFmtId="4" fontId="0" fillId="24" borderId="0" xfId="0" applyNumberFormat="1" applyFont="1" applyFill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167" fontId="25" fillId="24" borderId="12" xfId="0" applyNumberFormat="1" applyFont="1" applyFill="1" applyBorder="1" applyAlignment="1">
      <alignment horizontal="center" vertical="top"/>
    </xf>
    <xf numFmtId="167" fontId="25" fillId="24" borderId="14" xfId="0" applyNumberFormat="1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left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4" fillId="24" borderId="12" xfId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25" fillId="24" borderId="12" xfId="0" applyNumberFormat="1" applyFont="1" applyFill="1" applyBorder="1" applyAlignment="1">
      <alignment horizontal="center" vertical="top" wrapText="1"/>
    </xf>
    <xf numFmtId="0" fontId="4" fillId="24" borderId="13" xfId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167" fontId="25" fillId="24" borderId="12" xfId="0" applyNumberFormat="1" applyFont="1" applyFill="1" applyBorder="1" applyAlignment="1">
      <alignment horizontal="center" vertical="top"/>
    </xf>
    <xf numFmtId="167" fontId="25" fillId="24" borderId="13" xfId="0" applyNumberFormat="1" applyFont="1" applyFill="1" applyBorder="1" applyAlignment="1">
      <alignment horizontal="center" vertical="top"/>
    </xf>
    <xf numFmtId="167" fontId="25" fillId="24" borderId="14" xfId="0" applyNumberFormat="1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/>
    <xf numFmtId="4" fontId="0" fillId="24" borderId="14" xfId="0" applyNumberFormat="1" applyFont="1" applyFill="1" applyBorder="1"/>
    <xf numFmtId="0" fontId="4" fillId="24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167" fontId="25" fillId="24" borderId="14" xfId="1" applyNumberFormat="1" applyFont="1" applyFill="1" applyBorder="1" applyAlignment="1">
      <alignment horizontal="center" vertical="top" wrapText="1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2" fontId="4" fillId="24" borderId="12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4" fontId="25" fillId="24" borderId="19" xfId="1" applyNumberFormat="1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horizontal="left" vertical="top"/>
    </xf>
    <xf numFmtId="4" fontId="4" fillId="24" borderId="12" xfId="1" applyNumberFormat="1" applyFont="1" applyFill="1" applyBorder="1" applyAlignment="1">
      <alignment horizontal="left" vertical="top" wrapText="1"/>
    </xf>
    <xf numFmtId="4" fontId="4" fillId="24" borderId="13" xfId="1" applyNumberFormat="1" applyFont="1" applyFill="1" applyBorder="1" applyAlignment="1">
      <alignment horizontal="left" vertical="top" wrapText="1"/>
    </xf>
    <xf numFmtId="0" fontId="4" fillId="24" borderId="12" xfId="0" applyNumberFormat="1" applyFont="1" applyFill="1" applyBorder="1" applyAlignment="1">
      <alignment horizontal="left" vertical="top" wrapText="1"/>
    </xf>
    <xf numFmtId="0" fontId="4" fillId="24" borderId="13" xfId="0" applyNumberFormat="1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center" vertical="top"/>
    </xf>
    <xf numFmtId="0" fontId="25" fillId="24" borderId="12" xfId="0" applyNumberFormat="1" applyFont="1" applyFill="1" applyBorder="1" applyAlignment="1">
      <alignment horizontal="center" vertical="top" wrapText="1"/>
    </xf>
    <xf numFmtId="0" fontId="25" fillId="24" borderId="13" xfId="0" applyNumberFormat="1" applyFont="1" applyFill="1" applyBorder="1" applyAlignment="1">
      <alignment horizontal="center" vertical="top" wrapText="1"/>
    </xf>
    <xf numFmtId="0" fontId="25" fillId="24" borderId="14" xfId="0" applyNumberFormat="1" applyFont="1" applyFill="1" applyBorder="1" applyAlignment="1">
      <alignment horizontal="center" vertical="top" wrapText="1"/>
    </xf>
    <xf numFmtId="0" fontId="4" fillId="24" borderId="12" xfId="1" applyFont="1" applyFill="1" applyBorder="1" applyAlignment="1">
      <alignment horizontal="left" vertical="top" wrapText="1"/>
    </xf>
    <xf numFmtId="0" fontId="4" fillId="24" borderId="13" xfId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/>
    </xf>
    <xf numFmtId="2" fontId="4" fillId="24" borderId="12" xfId="0" applyNumberFormat="1" applyFont="1" applyFill="1" applyBorder="1" applyAlignment="1">
      <alignment horizontal="center"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vertical="top" wrapText="1"/>
    </xf>
    <xf numFmtId="0" fontId="0" fillId="24" borderId="14" xfId="0" applyFont="1" applyFill="1" applyBorder="1"/>
    <xf numFmtId="0" fontId="4" fillId="24" borderId="11" xfId="0" applyFont="1" applyFill="1" applyBorder="1" applyAlignment="1">
      <alignment horizontal="center" vertical="top" wrapText="1"/>
    </xf>
    <xf numFmtId="4" fontId="0" fillId="24" borderId="17" xfId="0" applyNumberFormat="1" applyFont="1" applyFill="1" applyBorder="1" applyAlignment="1">
      <alignment horizontal="center" vertical="top" wrapText="1"/>
    </xf>
    <xf numFmtId="0" fontId="0" fillId="24" borderId="13" xfId="0" applyFont="1" applyFill="1" applyBorder="1"/>
    <xf numFmtId="4" fontId="24" fillId="24" borderId="10" xfId="0" applyNumberFormat="1" applyFont="1" applyFill="1" applyBorder="1" applyAlignment="1">
      <alignment horizontal="center" vertical="top" wrapText="1"/>
    </xf>
    <xf numFmtId="167" fontId="24" fillId="24" borderId="10" xfId="0" applyNumberFormat="1" applyFont="1" applyFill="1" applyBorder="1" applyAlignment="1">
      <alignment horizontal="center" vertical="top" wrapText="1"/>
    </xf>
    <xf numFmtId="2" fontId="4" fillId="24" borderId="10" xfId="1" applyNumberFormat="1" applyFont="1" applyFill="1" applyBorder="1" applyAlignment="1">
      <alignment horizontal="left" vertical="top" wrapText="1"/>
    </xf>
    <xf numFmtId="0" fontId="4" fillId="24" borderId="20" xfId="0" applyFont="1" applyFill="1" applyBorder="1" applyAlignment="1">
      <alignment vertical="top" wrapText="1"/>
    </xf>
    <xf numFmtId="164" fontId="4" fillId="24" borderId="10" xfId="0" applyNumberFormat="1" applyFont="1" applyFill="1" applyBorder="1" applyAlignment="1">
      <alignment vertical="top" wrapText="1"/>
    </xf>
    <xf numFmtId="0" fontId="4" fillId="24" borderId="10" xfId="1" applyFont="1" applyFill="1" applyBorder="1" applyAlignment="1">
      <alignment horizontal="left" vertical="top" wrapText="1"/>
    </xf>
    <xf numFmtId="4" fontId="4" fillId="24" borderId="10" xfId="1" applyNumberFormat="1" applyFont="1" applyFill="1" applyBorder="1" applyAlignment="1">
      <alignment vertical="top" wrapText="1"/>
    </xf>
    <xf numFmtId="168" fontId="25" fillId="24" borderId="10" xfId="1" applyNumberFormat="1" applyFont="1" applyFill="1" applyBorder="1" applyAlignment="1">
      <alignment horizontal="center" vertical="top" wrapText="1"/>
    </xf>
    <xf numFmtId="4" fontId="31" fillId="24" borderId="0" xfId="0" applyNumberFormat="1" applyFont="1" applyFill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/>
    </xf>
    <xf numFmtId="0" fontId="4" fillId="24" borderId="12" xfId="81" applyFont="1" applyFill="1" applyBorder="1" applyAlignment="1">
      <alignment horizontal="left" vertical="top" wrapText="1"/>
    </xf>
    <xf numFmtId="4" fontId="25" fillId="24" borderId="12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/>
    </xf>
    <xf numFmtId="0" fontId="4" fillId="24" borderId="13" xfId="81" applyFont="1" applyFill="1" applyBorder="1" applyAlignment="1">
      <alignment horizontal="left" vertical="top" wrapText="1"/>
    </xf>
    <xf numFmtId="4" fontId="25" fillId="24" borderId="13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/>
    </xf>
    <xf numFmtId="0" fontId="4" fillId="24" borderId="14" xfId="81" applyFont="1" applyFill="1" applyBorder="1" applyAlignment="1">
      <alignment horizontal="left" vertical="top" wrapText="1"/>
    </xf>
    <xf numFmtId="0" fontId="4" fillId="24" borderId="10" xfId="1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/>
    </xf>
    <xf numFmtId="0" fontId="4" fillId="24" borderId="10" xfId="1" applyFont="1" applyFill="1" applyBorder="1" applyAlignment="1">
      <alignment horizontal="left" vertical="top" wrapText="1"/>
    </xf>
    <xf numFmtId="4" fontId="25" fillId="24" borderId="10" xfId="1" applyNumberFormat="1" applyFont="1" applyFill="1" applyBorder="1" applyAlignment="1">
      <alignment vertical="top" wrapText="1"/>
    </xf>
    <xf numFmtId="167" fontId="25" fillId="24" borderId="10" xfId="0" applyNumberFormat="1" applyFont="1" applyFill="1" applyBorder="1" applyAlignment="1">
      <alignment vertical="top"/>
    </xf>
    <xf numFmtId="0" fontId="4" fillId="24" borderId="13" xfId="1" applyFont="1" applyFill="1" applyBorder="1" applyAlignment="1">
      <alignment vertical="top" wrapText="1"/>
    </xf>
    <xf numFmtId="4" fontId="25" fillId="24" borderId="14" xfId="0" applyNumberFormat="1" applyFont="1" applyFill="1" applyBorder="1" applyAlignment="1">
      <alignment horizontal="center" vertical="top"/>
    </xf>
    <xf numFmtId="0" fontId="4" fillId="24" borderId="12" xfId="0" applyNumberFormat="1" applyFont="1" applyFill="1" applyBorder="1" applyAlignment="1">
      <alignment vertical="top" wrapText="1"/>
    </xf>
    <xf numFmtId="0" fontId="4" fillId="24" borderId="13" xfId="0" applyNumberFormat="1" applyFont="1" applyFill="1" applyBorder="1" applyAlignment="1">
      <alignment vertical="top" wrapText="1"/>
    </xf>
    <xf numFmtId="164" fontId="4" fillId="24" borderId="13" xfId="0" applyNumberFormat="1" applyFont="1" applyFill="1" applyBorder="1" applyAlignment="1">
      <alignment vertical="top" wrapText="1"/>
    </xf>
    <xf numFmtId="1" fontId="4" fillId="24" borderId="14" xfId="0" applyNumberFormat="1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center" vertical="top"/>
    </xf>
    <xf numFmtId="0" fontId="26" fillId="24" borderId="14" xfId="1" applyFont="1" applyFill="1" applyBorder="1" applyAlignment="1">
      <alignment horizontal="left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top" wrapText="1"/>
    </xf>
    <xf numFmtId="4" fontId="30" fillId="24" borderId="0" xfId="0" applyNumberFormat="1" applyFont="1" applyFill="1" applyAlignment="1">
      <alignment horizontal="center" vertical="top" wrapText="1"/>
    </xf>
    <xf numFmtId="4" fontId="30" fillId="24" borderId="0" xfId="0" applyNumberFormat="1" applyFont="1" applyFill="1" applyAlignment="1">
      <alignment wrapText="1"/>
    </xf>
    <xf numFmtId="0" fontId="30" fillId="24" borderId="0" xfId="0" applyFont="1" applyFill="1"/>
    <xf numFmtId="49" fontId="26" fillId="24" borderId="10" xfId="0" applyNumberFormat="1" applyFont="1" applyFill="1" applyBorder="1" applyAlignment="1">
      <alignment horizontal="center" vertical="top"/>
    </xf>
    <xf numFmtId="49" fontId="4" fillId="24" borderId="12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4" fontId="25" fillId="24" borderId="12" xfId="0" applyNumberFormat="1" applyFont="1" applyFill="1" applyBorder="1" applyAlignment="1">
      <alignment horizontal="center" vertical="top"/>
    </xf>
    <xf numFmtId="2" fontId="4" fillId="24" borderId="10" xfId="0" applyNumberFormat="1" applyFont="1" applyFill="1" applyBorder="1" applyAlignment="1">
      <alignment horizontal="center" vertical="top" wrapText="1"/>
    </xf>
    <xf numFmtId="0" fontId="4" fillId="24" borderId="10" xfId="1" applyFont="1" applyFill="1" applyBorder="1" applyAlignment="1">
      <alignment vertical="top" wrapText="1"/>
    </xf>
    <xf numFmtId="167" fontId="25" fillId="24" borderId="15" xfId="0" applyNumberFormat="1" applyFont="1" applyFill="1" applyBorder="1" applyAlignment="1">
      <alignment horizontal="center" vertical="top"/>
    </xf>
    <xf numFmtId="167" fontId="25" fillId="24" borderId="24" xfId="0" applyNumberFormat="1" applyFont="1" applyFill="1" applyBorder="1" applyAlignment="1">
      <alignment horizontal="center" vertical="top"/>
    </xf>
    <xf numFmtId="2" fontId="4" fillId="24" borderId="13" xfId="0" applyNumberFormat="1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center" vertical="top" wrapText="1"/>
    </xf>
    <xf numFmtId="0" fontId="0" fillId="24" borderId="23" xfId="0" applyFont="1" applyFill="1" applyBorder="1"/>
  </cellXfs>
  <cellStyles count="101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  <colors>
    <mruColors>
      <color rgb="FFFFFFCC"/>
      <color rgb="FFFFFF99"/>
      <color rgb="FF99FFCC"/>
      <color rgb="FF99FF33"/>
      <color rgb="FFCCFFFF"/>
      <color rgb="FF66FFCC"/>
      <color rgb="FF66FF99"/>
      <color rgb="FF99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abSelected="1" view="pageBreakPreview" zoomScale="85" zoomScaleNormal="100" zoomScaleSheetLayoutView="85" workbookViewId="0">
      <pane ySplit="11" topLeftCell="A12" activePane="bottomLeft" state="frozen"/>
      <selection pane="bottomLeft" activeCell="B8" sqref="B8"/>
    </sheetView>
  </sheetViews>
  <sheetFormatPr defaultRowHeight="12.75" x14ac:dyDescent="0.2"/>
  <cols>
    <col min="1" max="1" width="5.5703125" style="13" customWidth="1"/>
    <col min="2" max="2" width="51.42578125" style="7" customWidth="1"/>
    <col min="3" max="3" width="14.140625" style="7" customWidth="1"/>
    <col min="4" max="4" width="16.5703125" style="11" customWidth="1"/>
    <col min="5" max="5" width="16.7109375" style="11" customWidth="1"/>
    <col min="6" max="6" width="16.140625" style="11" customWidth="1"/>
    <col min="7" max="7" width="9.28515625" style="7" customWidth="1"/>
    <col min="8" max="8" width="32.85546875" style="7" customWidth="1"/>
    <col min="9" max="10" width="10.85546875" style="7" customWidth="1"/>
    <col min="11" max="11" width="11.7109375" style="7" customWidth="1"/>
    <col min="12" max="12" width="11" style="7" customWidth="1"/>
    <col min="13" max="13" width="9.85546875" style="13" customWidth="1"/>
    <col min="14" max="14" width="9.85546875" style="7" customWidth="1"/>
    <col min="15" max="15" width="19.140625" style="48" customWidth="1"/>
    <col min="16" max="16" width="16.7109375" style="48" customWidth="1"/>
    <col min="17" max="18" width="14.7109375" style="44" customWidth="1"/>
    <col min="19" max="16384" width="9.140625" style="7"/>
  </cols>
  <sheetData>
    <row r="1" spans="1:18" ht="15.75" x14ac:dyDescent="0.25">
      <c r="N1" s="10" t="s">
        <v>46</v>
      </c>
    </row>
    <row r="2" spans="1:18" ht="15.75" x14ac:dyDescent="0.25">
      <c r="N2" s="10" t="s">
        <v>47</v>
      </c>
    </row>
    <row r="3" spans="1:18" ht="15.75" x14ac:dyDescent="0.25">
      <c r="N3" s="10" t="s">
        <v>48</v>
      </c>
    </row>
    <row r="4" spans="1:18" ht="38.25" customHeight="1" x14ac:dyDescent="0.2">
      <c r="B4" s="145" t="s">
        <v>8</v>
      </c>
      <c r="C4" s="146"/>
      <c r="D4" s="146"/>
      <c r="E4" s="147"/>
      <c r="F4" s="139" t="s">
        <v>306</v>
      </c>
      <c r="G4" s="140"/>
      <c r="H4" s="140"/>
      <c r="I4" s="140"/>
      <c r="J4" s="140"/>
      <c r="K4" s="140"/>
      <c r="L4" s="140"/>
      <c r="M4" s="140"/>
      <c r="N4" s="141"/>
    </row>
    <row r="5" spans="1:18" ht="15.75" customHeight="1" x14ac:dyDescent="0.2">
      <c r="B5" s="148" t="s">
        <v>6</v>
      </c>
      <c r="C5" s="148"/>
      <c r="D5" s="148"/>
      <c r="E5" s="148"/>
      <c r="F5" s="139" t="s">
        <v>7</v>
      </c>
      <c r="G5" s="140"/>
      <c r="H5" s="140"/>
      <c r="I5" s="140"/>
      <c r="J5" s="140"/>
      <c r="K5" s="140"/>
      <c r="L5" s="140"/>
      <c r="M5" s="140"/>
      <c r="N5" s="141"/>
    </row>
    <row r="6" spans="1:18" ht="51.75" customHeight="1" x14ac:dyDescent="0.2">
      <c r="B6" s="148" t="s">
        <v>9</v>
      </c>
      <c r="C6" s="148"/>
      <c r="D6" s="148"/>
      <c r="E6" s="148"/>
      <c r="F6" s="139" t="s">
        <v>307</v>
      </c>
      <c r="G6" s="140"/>
      <c r="H6" s="140"/>
      <c r="I6" s="140"/>
      <c r="J6" s="140"/>
      <c r="K6" s="140"/>
      <c r="L6" s="140"/>
      <c r="M6" s="140"/>
      <c r="N6" s="141"/>
    </row>
    <row r="7" spans="1:18" ht="31.5" customHeight="1" x14ac:dyDescent="0.2">
      <c r="B7" s="148" t="s">
        <v>0</v>
      </c>
      <c r="C7" s="148"/>
      <c r="D7" s="148"/>
      <c r="E7" s="148"/>
      <c r="F7" s="139" t="s">
        <v>62</v>
      </c>
      <c r="G7" s="140"/>
      <c r="H7" s="140"/>
      <c r="I7" s="140"/>
      <c r="J7" s="140"/>
      <c r="K7" s="140"/>
      <c r="L7" s="140"/>
      <c r="M7" s="140"/>
      <c r="N7" s="141"/>
    </row>
    <row r="8" spans="1:18" ht="20.25" customHeight="1" x14ac:dyDescent="0.3">
      <c r="A8" s="3"/>
      <c r="B8" s="1"/>
      <c r="D8" s="8" t="s">
        <v>203</v>
      </c>
      <c r="E8" s="8"/>
      <c r="F8" s="8"/>
      <c r="G8" s="2"/>
      <c r="H8" s="2"/>
      <c r="I8" s="2"/>
      <c r="J8" s="1"/>
      <c r="K8" s="1"/>
      <c r="L8" s="1"/>
      <c r="M8" s="3"/>
      <c r="N8" s="1"/>
    </row>
    <row r="9" spans="1:18" s="1" customFormat="1" ht="15.75" customHeight="1" x14ac:dyDescent="0.25">
      <c r="A9" s="128" t="s">
        <v>4</v>
      </c>
      <c r="B9" s="129" t="s">
        <v>53</v>
      </c>
      <c r="C9" s="129" t="s">
        <v>44</v>
      </c>
      <c r="D9" s="130" t="s">
        <v>99</v>
      </c>
      <c r="E9" s="130" t="s">
        <v>100</v>
      </c>
      <c r="F9" s="142" t="s">
        <v>49</v>
      </c>
      <c r="G9" s="129" t="s">
        <v>50</v>
      </c>
      <c r="H9" s="129" t="s">
        <v>5</v>
      </c>
      <c r="I9" s="149" t="s">
        <v>1</v>
      </c>
      <c r="J9" s="149"/>
      <c r="K9" s="149"/>
      <c r="L9" s="149"/>
      <c r="M9" s="149"/>
      <c r="N9" s="149"/>
      <c r="O9" s="49"/>
      <c r="P9" s="49"/>
      <c r="Q9" s="45"/>
      <c r="R9" s="45"/>
    </row>
    <row r="10" spans="1:18" s="1" customFormat="1" ht="15.75" customHeight="1" x14ac:dyDescent="0.2">
      <c r="A10" s="128"/>
      <c r="B10" s="129"/>
      <c r="C10" s="129"/>
      <c r="D10" s="130"/>
      <c r="E10" s="130"/>
      <c r="F10" s="143"/>
      <c r="G10" s="129"/>
      <c r="H10" s="129"/>
      <c r="I10" s="129" t="s">
        <v>51</v>
      </c>
      <c r="J10" s="129"/>
      <c r="K10" s="129" t="s">
        <v>52</v>
      </c>
      <c r="L10" s="129"/>
      <c r="M10" s="129" t="s">
        <v>61</v>
      </c>
      <c r="N10" s="129" t="s">
        <v>60</v>
      </c>
      <c r="O10" s="49"/>
      <c r="P10" s="49"/>
      <c r="Q10" s="45"/>
      <c r="R10" s="45"/>
    </row>
    <row r="11" spans="1:18" s="1" customFormat="1" ht="147" customHeight="1" x14ac:dyDescent="0.2">
      <c r="A11" s="128"/>
      <c r="B11" s="129"/>
      <c r="C11" s="129"/>
      <c r="D11" s="130"/>
      <c r="E11" s="130"/>
      <c r="F11" s="144"/>
      <c r="G11" s="129"/>
      <c r="H11" s="129"/>
      <c r="I11" s="117" t="s">
        <v>2</v>
      </c>
      <c r="J11" s="117" t="s">
        <v>3</v>
      </c>
      <c r="K11" s="117" t="s">
        <v>2</v>
      </c>
      <c r="L11" s="117" t="s">
        <v>3</v>
      </c>
      <c r="M11" s="129"/>
      <c r="N11" s="129"/>
      <c r="O11" s="49"/>
      <c r="P11" s="49"/>
      <c r="Q11" s="45"/>
      <c r="R11" s="45"/>
    </row>
    <row r="12" spans="1:18" s="1" customFormat="1" ht="15.75" customHeight="1" x14ac:dyDescent="0.25">
      <c r="A12" s="4">
        <v>1</v>
      </c>
      <c r="B12" s="118">
        <v>2</v>
      </c>
      <c r="C12" s="118">
        <v>3</v>
      </c>
      <c r="D12" s="35">
        <v>4</v>
      </c>
      <c r="E12" s="35">
        <v>5</v>
      </c>
      <c r="F12" s="35">
        <v>7</v>
      </c>
      <c r="G12" s="118">
        <v>6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  <c r="N12" s="118">
        <v>14</v>
      </c>
      <c r="O12" s="49"/>
      <c r="P12" s="49"/>
      <c r="Q12" s="45"/>
      <c r="R12" s="45"/>
    </row>
    <row r="13" spans="1:18" ht="54" customHeight="1" x14ac:dyDescent="0.2">
      <c r="A13" s="81"/>
      <c r="B13" s="9" t="s">
        <v>294</v>
      </c>
      <c r="C13" s="6" t="s">
        <v>11</v>
      </c>
      <c r="D13" s="190">
        <f>SUM(D14:D48)</f>
        <v>85191.700000000012</v>
      </c>
      <c r="E13" s="190">
        <f t="shared" ref="E13:F13" si="0">SUM(E14:E48)</f>
        <v>70804.670426000026</v>
      </c>
      <c r="F13" s="190">
        <f t="shared" si="0"/>
        <v>33198.28789</v>
      </c>
      <c r="G13" s="191">
        <f t="shared" ref="G13:G37" si="1">F13/E13*100</f>
        <v>46.887144153430491</v>
      </c>
      <c r="H13" s="111"/>
      <c r="I13" s="52"/>
      <c r="J13" s="52"/>
      <c r="K13" s="52"/>
      <c r="L13" s="52"/>
      <c r="M13" s="89"/>
      <c r="N13" s="52"/>
    </row>
    <row r="14" spans="1:18" ht="117" customHeight="1" x14ac:dyDescent="0.2">
      <c r="A14" s="81">
        <v>1</v>
      </c>
      <c r="B14" s="192" t="s">
        <v>10</v>
      </c>
      <c r="C14" s="5" t="s">
        <v>11</v>
      </c>
      <c r="D14" s="88">
        <v>1111.0999999999999</v>
      </c>
      <c r="E14" s="88">
        <v>1111.0999999999999</v>
      </c>
      <c r="F14" s="88">
        <f>4.72944+77.83044+80.87012+124.20916+156.63556+168.48276+150.77096</f>
        <v>763.52844000000005</v>
      </c>
      <c r="G14" s="37">
        <f t="shared" si="1"/>
        <v>68.71824678246783</v>
      </c>
      <c r="H14" s="111" t="s">
        <v>106</v>
      </c>
      <c r="I14" s="89" t="s">
        <v>28</v>
      </c>
      <c r="J14" s="89" t="s">
        <v>28</v>
      </c>
      <c r="K14" s="89" t="s">
        <v>28</v>
      </c>
      <c r="L14" s="89" t="s">
        <v>28</v>
      </c>
      <c r="M14" s="57">
        <v>100</v>
      </c>
      <c r="N14" s="89" t="s">
        <v>28</v>
      </c>
      <c r="O14" s="48" t="s">
        <v>174</v>
      </c>
      <c r="P14" s="48" t="s">
        <v>175</v>
      </c>
    </row>
    <row r="15" spans="1:18" ht="94.5" x14ac:dyDescent="0.2">
      <c r="A15" s="81">
        <f>A14+1</f>
        <v>2</v>
      </c>
      <c r="B15" s="53" t="s">
        <v>116</v>
      </c>
      <c r="C15" s="5" t="s">
        <v>11</v>
      </c>
      <c r="D15" s="88">
        <v>949</v>
      </c>
      <c r="E15" s="88">
        <v>949</v>
      </c>
      <c r="F15" s="88">
        <v>0</v>
      </c>
      <c r="G15" s="37">
        <f t="shared" si="1"/>
        <v>0</v>
      </c>
      <c r="H15" s="22" t="s">
        <v>94</v>
      </c>
      <c r="I15" s="90">
        <v>36</v>
      </c>
      <c r="J15" s="90">
        <v>36</v>
      </c>
      <c r="K15" s="90">
        <v>39</v>
      </c>
      <c r="L15" s="90">
        <v>36</v>
      </c>
      <c r="M15" s="98">
        <f t="shared" ref="M15" si="2">L15/K15*100</f>
        <v>92.307692307692307</v>
      </c>
      <c r="N15" s="90">
        <v>39</v>
      </c>
      <c r="O15" s="48" t="s">
        <v>29</v>
      </c>
    </row>
    <row r="16" spans="1:18" ht="81" customHeight="1" x14ac:dyDescent="0.2">
      <c r="A16" s="81">
        <f t="shared" ref="A16:A17" si="3">A15+1</f>
        <v>3</v>
      </c>
      <c r="B16" s="192" t="s">
        <v>118</v>
      </c>
      <c r="C16" s="5" t="s">
        <v>11</v>
      </c>
      <c r="D16" s="88">
        <v>1754</v>
      </c>
      <c r="E16" s="88">
        <v>1480.5698299999999</v>
      </c>
      <c r="F16" s="88">
        <v>1480.5698299999999</v>
      </c>
      <c r="G16" s="37">
        <f t="shared" si="1"/>
        <v>100</v>
      </c>
      <c r="H16" s="193" t="s">
        <v>105</v>
      </c>
      <c r="I16" s="135">
        <v>5</v>
      </c>
      <c r="J16" s="90">
        <v>5</v>
      </c>
      <c r="K16" s="121">
        <v>5</v>
      </c>
      <c r="L16" s="121">
        <v>5</v>
      </c>
      <c r="M16" s="136">
        <v>100</v>
      </c>
      <c r="N16" s="121">
        <v>5</v>
      </c>
      <c r="O16" s="48" t="s">
        <v>229</v>
      </c>
      <c r="P16" s="48" t="s">
        <v>177</v>
      </c>
    </row>
    <row r="17" spans="1:16" ht="55.5" customHeight="1" x14ac:dyDescent="0.2">
      <c r="A17" s="81">
        <f t="shared" si="3"/>
        <v>4</v>
      </c>
      <c r="B17" s="192" t="s">
        <v>164</v>
      </c>
      <c r="C17" s="5" t="s">
        <v>11</v>
      </c>
      <c r="D17" s="88">
        <v>1000</v>
      </c>
      <c r="E17" s="88">
        <v>1000</v>
      </c>
      <c r="F17" s="88">
        <v>1000</v>
      </c>
      <c r="G17" s="37">
        <f t="shared" si="1"/>
        <v>100</v>
      </c>
      <c r="H17" s="54"/>
      <c r="I17" s="135"/>
      <c r="J17" s="119"/>
      <c r="K17" s="122"/>
      <c r="L17" s="122"/>
      <c r="M17" s="137"/>
      <c r="N17" s="122"/>
      <c r="O17" s="48" t="s">
        <v>206</v>
      </c>
      <c r="P17" s="48" t="s">
        <v>207</v>
      </c>
    </row>
    <row r="18" spans="1:16" ht="87" customHeight="1" x14ac:dyDescent="0.2">
      <c r="A18" s="81">
        <f t="shared" ref="A18:A48" si="4">A17+1</f>
        <v>5</v>
      </c>
      <c r="B18" s="192" t="s">
        <v>63</v>
      </c>
      <c r="C18" s="5" t="s">
        <v>11</v>
      </c>
      <c r="D18" s="88">
        <v>1350</v>
      </c>
      <c r="E18" s="88">
        <v>1350</v>
      </c>
      <c r="F18" s="88">
        <v>403.5</v>
      </c>
      <c r="G18" s="37">
        <f t="shared" si="1"/>
        <v>29.888888888888886</v>
      </c>
      <c r="H18" s="54"/>
      <c r="I18" s="135"/>
      <c r="J18" s="119"/>
      <c r="K18" s="122"/>
      <c r="L18" s="122"/>
      <c r="M18" s="137"/>
      <c r="N18" s="122"/>
      <c r="O18" s="48" t="s">
        <v>208</v>
      </c>
      <c r="P18" s="48" t="s">
        <v>209</v>
      </c>
    </row>
    <row r="19" spans="1:16" ht="84.75" customHeight="1" x14ac:dyDescent="0.2">
      <c r="A19" s="81">
        <f t="shared" si="4"/>
        <v>6</v>
      </c>
      <c r="B19" s="192" t="s">
        <v>64</v>
      </c>
      <c r="C19" s="5" t="s">
        <v>11</v>
      </c>
      <c r="D19" s="88">
        <v>900</v>
      </c>
      <c r="E19" s="88">
        <v>900</v>
      </c>
      <c r="F19" s="88">
        <v>268.5</v>
      </c>
      <c r="G19" s="37">
        <f t="shared" si="1"/>
        <v>29.833333333333336</v>
      </c>
      <c r="H19" s="54"/>
      <c r="I19" s="135"/>
      <c r="J19" s="119"/>
      <c r="K19" s="122"/>
      <c r="L19" s="122"/>
      <c r="M19" s="137"/>
      <c r="N19" s="122"/>
      <c r="O19" s="48" t="s">
        <v>210</v>
      </c>
      <c r="P19" s="48" t="s">
        <v>209</v>
      </c>
    </row>
    <row r="20" spans="1:16" ht="51.75" customHeight="1" x14ac:dyDescent="0.2">
      <c r="A20" s="81">
        <f t="shared" si="4"/>
        <v>7</v>
      </c>
      <c r="B20" s="192" t="s">
        <v>119</v>
      </c>
      <c r="C20" s="5" t="s">
        <v>11</v>
      </c>
      <c r="D20" s="88">
        <v>198</v>
      </c>
      <c r="E20" s="88">
        <v>197.01</v>
      </c>
      <c r="F20" s="88">
        <v>0</v>
      </c>
      <c r="G20" s="37">
        <f t="shared" ref="G20:G26" si="5">F20/E20*100</f>
        <v>0</v>
      </c>
      <c r="H20" s="54"/>
      <c r="I20" s="121"/>
      <c r="J20" s="119"/>
      <c r="K20" s="122"/>
      <c r="L20" s="122"/>
      <c r="M20" s="137"/>
      <c r="N20" s="122"/>
      <c r="O20" s="48" t="s">
        <v>232</v>
      </c>
      <c r="P20" s="48" t="s">
        <v>233</v>
      </c>
    </row>
    <row r="21" spans="1:16" ht="63.75" x14ac:dyDescent="0.2">
      <c r="A21" s="81">
        <f t="shared" si="4"/>
        <v>8</v>
      </c>
      <c r="B21" s="192" t="s">
        <v>125</v>
      </c>
      <c r="C21" s="5" t="s">
        <v>11</v>
      </c>
      <c r="D21" s="88">
        <v>2828.9</v>
      </c>
      <c r="E21" s="88">
        <v>2828.9</v>
      </c>
      <c r="F21" s="88">
        <v>2800.6109999999999</v>
      </c>
      <c r="G21" s="37">
        <f t="shared" si="5"/>
        <v>98.999999999999986</v>
      </c>
      <c r="H21" s="29"/>
      <c r="I21" s="119"/>
      <c r="J21" s="55"/>
      <c r="K21" s="119"/>
      <c r="L21" s="119"/>
      <c r="M21" s="120"/>
      <c r="N21" s="119"/>
      <c r="O21" s="48" t="s">
        <v>176</v>
      </c>
      <c r="P21" s="48" t="s">
        <v>177</v>
      </c>
    </row>
    <row r="22" spans="1:16" ht="63.75" x14ac:dyDescent="0.2">
      <c r="A22" s="81">
        <f t="shared" si="4"/>
        <v>9</v>
      </c>
      <c r="B22" s="192" t="s">
        <v>168</v>
      </c>
      <c r="C22" s="5" t="s">
        <v>11</v>
      </c>
      <c r="D22" s="88">
        <v>15750</v>
      </c>
      <c r="E22" s="88">
        <v>15750</v>
      </c>
      <c r="F22" s="88">
        <v>15750</v>
      </c>
      <c r="G22" s="37">
        <f t="shared" si="5"/>
        <v>100</v>
      </c>
      <c r="H22" s="29"/>
      <c r="I22" s="55"/>
      <c r="J22" s="55"/>
      <c r="K22" s="119"/>
      <c r="L22" s="119"/>
      <c r="M22" s="120"/>
      <c r="N22" s="119"/>
      <c r="O22" s="83" t="s">
        <v>235</v>
      </c>
      <c r="P22" s="48" t="s">
        <v>234</v>
      </c>
    </row>
    <row r="23" spans="1:16" ht="47.25" x14ac:dyDescent="0.2">
      <c r="A23" s="81">
        <f t="shared" si="4"/>
        <v>10</v>
      </c>
      <c r="B23" s="192" t="s">
        <v>173</v>
      </c>
      <c r="C23" s="5" t="s">
        <v>11</v>
      </c>
      <c r="D23" s="88">
        <f>994+142</f>
        <v>1136</v>
      </c>
      <c r="E23" s="88">
        <v>1073.52</v>
      </c>
      <c r="F23" s="88">
        <v>1073.52</v>
      </c>
      <c r="G23" s="37">
        <f t="shared" si="5"/>
        <v>100</v>
      </c>
      <c r="H23" s="29"/>
      <c r="I23" s="55"/>
      <c r="J23" s="55"/>
      <c r="K23" s="119"/>
      <c r="L23" s="119"/>
      <c r="M23" s="120"/>
      <c r="N23" s="119"/>
      <c r="O23" s="48" t="s">
        <v>230</v>
      </c>
      <c r="P23" s="48" t="s">
        <v>231</v>
      </c>
    </row>
    <row r="24" spans="1:16" ht="63" x14ac:dyDescent="0.2">
      <c r="A24" s="81">
        <f t="shared" si="4"/>
        <v>11</v>
      </c>
      <c r="B24" s="192" t="s">
        <v>169</v>
      </c>
      <c r="C24" s="5" t="s">
        <v>11</v>
      </c>
      <c r="D24" s="88">
        <v>8150</v>
      </c>
      <c r="E24" s="88">
        <v>8150</v>
      </c>
      <c r="F24" s="88">
        <v>0</v>
      </c>
      <c r="G24" s="37">
        <f t="shared" si="5"/>
        <v>0</v>
      </c>
      <c r="H24" s="29"/>
      <c r="I24" s="55"/>
      <c r="J24" s="55"/>
      <c r="K24" s="119"/>
      <c r="L24" s="119"/>
      <c r="M24" s="120"/>
      <c r="N24" s="119"/>
    </row>
    <row r="25" spans="1:16" ht="81" customHeight="1" x14ac:dyDescent="0.2">
      <c r="A25" s="81">
        <f t="shared" si="4"/>
        <v>12</v>
      </c>
      <c r="B25" s="192" t="s">
        <v>204</v>
      </c>
      <c r="C25" s="5" t="s">
        <v>11</v>
      </c>
      <c r="D25" s="88">
        <v>3500</v>
      </c>
      <c r="E25" s="88">
        <v>3500</v>
      </c>
      <c r="F25" s="88">
        <v>0</v>
      </c>
      <c r="G25" s="37">
        <f t="shared" si="5"/>
        <v>0</v>
      </c>
      <c r="H25" s="29"/>
      <c r="I25" s="55"/>
      <c r="J25" s="55"/>
      <c r="K25" s="119"/>
      <c r="L25" s="119"/>
      <c r="M25" s="120"/>
      <c r="N25" s="119"/>
      <c r="O25" s="48" t="s">
        <v>236</v>
      </c>
      <c r="P25" s="48" t="s">
        <v>237</v>
      </c>
    </row>
    <row r="26" spans="1:16" ht="60.75" customHeight="1" x14ac:dyDescent="0.2">
      <c r="A26" s="81">
        <f t="shared" si="4"/>
        <v>13</v>
      </c>
      <c r="B26" s="192" t="s">
        <v>170</v>
      </c>
      <c r="C26" s="5" t="s">
        <v>11</v>
      </c>
      <c r="D26" s="88">
        <v>1645.4</v>
      </c>
      <c r="E26" s="88">
        <v>1645.4</v>
      </c>
      <c r="F26" s="88">
        <v>0</v>
      </c>
      <c r="G26" s="37">
        <f t="shared" si="5"/>
        <v>0</v>
      </c>
      <c r="H26" s="29"/>
      <c r="I26" s="55"/>
      <c r="J26" s="55"/>
      <c r="K26" s="119"/>
      <c r="L26" s="119"/>
      <c r="M26" s="120"/>
      <c r="N26" s="119"/>
      <c r="O26" s="48">
        <v>1349.22</v>
      </c>
      <c r="P26" s="48" t="s">
        <v>238</v>
      </c>
    </row>
    <row r="27" spans="1:16" ht="51.75" customHeight="1" x14ac:dyDescent="0.2">
      <c r="A27" s="81">
        <f t="shared" si="4"/>
        <v>14</v>
      </c>
      <c r="B27" s="192" t="s">
        <v>172</v>
      </c>
      <c r="C27" s="5" t="s">
        <v>11</v>
      </c>
      <c r="D27" s="88">
        <v>2400</v>
      </c>
      <c r="E27" s="88">
        <v>836.77300000000002</v>
      </c>
      <c r="F27" s="88">
        <v>0</v>
      </c>
      <c r="G27" s="37">
        <v>0</v>
      </c>
      <c r="H27" s="23"/>
      <c r="I27" s="82"/>
      <c r="J27" s="82"/>
      <c r="K27" s="91"/>
      <c r="L27" s="91"/>
      <c r="M27" s="99"/>
      <c r="N27" s="91"/>
    </row>
    <row r="28" spans="1:16" ht="78.75" x14ac:dyDescent="0.2">
      <c r="A28" s="81">
        <f t="shared" si="4"/>
        <v>15</v>
      </c>
      <c r="B28" s="192" t="s">
        <v>117</v>
      </c>
      <c r="C28" s="102" t="s">
        <v>11</v>
      </c>
      <c r="D28" s="88">
        <v>207</v>
      </c>
      <c r="E28" s="88">
        <v>207</v>
      </c>
      <c r="F28" s="88">
        <v>0</v>
      </c>
      <c r="G28" s="37">
        <v>0</v>
      </c>
      <c r="H28" s="29" t="s">
        <v>201</v>
      </c>
      <c r="I28" s="55">
        <v>30</v>
      </c>
      <c r="J28" s="55">
        <v>30</v>
      </c>
      <c r="K28" s="119">
        <v>33</v>
      </c>
      <c r="L28" s="119" t="s">
        <v>29</v>
      </c>
      <c r="M28" s="120" t="s">
        <v>29</v>
      </c>
      <c r="N28" s="119">
        <v>34</v>
      </c>
    </row>
    <row r="29" spans="1:16" ht="63" x14ac:dyDescent="0.2">
      <c r="A29" s="81">
        <f t="shared" si="4"/>
        <v>16</v>
      </c>
      <c r="B29" s="192" t="s">
        <v>171</v>
      </c>
      <c r="C29" s="5" t="s">
        <v>11</v>
      </c>
      <c r="D29" s="88">
        <v>1360.6</v>
      </c>
      <c r="E29" s="88">
        <f>D29*78.666/100</f>
        <v>1070.3295959999998</v>
      </c>
      <c r="F29" s="88">
        <v>0</v>
      </c>
      <c r="G29" s="37">
        <f t="shared" ref="G29" si="6">F29/E29*100</f>
        <v>0</v>
      </c>
      <c r="H29" s="23"/>
      <c r="I29" s="55"/>
      <c r="J29" s="55"/>
      <c r="K29" s="119"/>
      <c r="L29" s="119"/>
      <c r="M29" s="120"/>
      <c r="N29" s="119"/>
    </row>
    <row r="30" spans="1:16" ht="49.5" customHeight="1" x14ac:dyDescent="0.2">
      <c r="A30" s="81">
        <f t="shared" si="4"/>
        <v>17</v>
      </c>
      <c r="B30" s="52" t="s">
        <v>25</v>
      </c>
      <c r="C30" s="5" t="s">
        <v>11</v>
      </c>
      <c r="D30" s="56">
        <v>1500</v>
      </c>
      <c r="E30" s="88">
        <v>1500</v>
      </c>
      <c r="F30" s="56">
        <v>0</v>
      </c>
      <c r="G30" s="37">
        <v>0</v>
      </c>
      <c r="H30" s="29"/>
      <c r="I30" s="22"/>
      <c r="J30" s="22"/>
      <c r="K30" s="22"/>
      <c r="L30" s="22"/>
      <c r="M30" s="194"/>
      <c r="N30" s="22"/>
      <c r="O30" s="48" t="s">
        <v>239</v>
      </c>
    </row>
    <row r="31" spans="1:16" ht="82.5" customHeight="1" x14ac:dyDescent="0.2">
      <c r="A31" s="81">
        <f t="shared" si="4"/>
        <v>18</v>
      </c>
      <c r="B31" s="52" t="s">
        <v>30</v>
      </c>
      <c r="C31" s="5" t="s">
        <v>11</v>
      </c>
      <c r="D31" s="56">
        <v>150</v>
      </c>
      <c r="E31" s="88">
        <v>101.25</v>
      </c>
      <c r="F31" s="88">
        <v>101.25</v>
      </c>
      <c r="G31" s="37">
        <f t="shared" si="1"/>
        <v>100</v>
      </c>
      <c r="H31" s="29" t="s">
        <v>33</v>
      </c>
      <c r="I31" s="90">
        <v>0.16</v>
      </c>
      <c r="J31" s="90">
        <v>0.16</v>
      </c>
      <c r="K31" s="90">
        <v>0.17</v>
      </c>
      <c r="L31" s="90">
        <v>0.13500000000000001</v>
      </c>
      <c r="M31" s="57">
        <f t="shared" ref="M31" si="7">L31/K31*100</f>
        <v>79.411764705882348</v>
      </c>
      <c r="N31" s="90">
        <v>0.18</v>
      </c>
      <c r="O31" s="48" t="s">
        <v>186</v>
      </c>
      <c r="P31" s="48" t="s">
        <v>187</v>
      </c>
    </row>
    <row r="32" spans="1:16" ht="98.25" customHeight="1" x14ac:dyDescent="0.2">
      <c r="A32" s="81">
        <f t="shared" si="4"/>
        <v>19</v>
      </c>
      <c r="B32" s="52" t="s">
        <v>26</v>
      </c>
      <c r="C32" s="5" t="s">
        <v>11</v>
      </c>
      <c r="D32" s="56">
        <v>1000</v>
      </c>
      <c r="E32" s="88">
        <v>990</v>
      </c>
      <c r="F32" s="56">
        <v>0</v>
      </c>
      <c r="G32" s="37">
        <f t="shared" si="1"/>
        <v>0</v>
      </c>
      <c r="H32" s="111" t="s">
        <v>57</v>
      </c>
      <c r="I32" s="89">
        <v>31</v>
      </c>
      <c r="J32" s="89">
        <v>31.5</v>
      </c>
      <c r="K32" s="89">
        <v>31.5</v>
      </c>
      <c r="L32" s="89">
        <v>25.5</v>
      </c>
      <c r="M32" s="57">
        <f>L32/K32*100</f>
        <v>80.952380952380949</v>
      </c>
      <c r="N32" s="89">
        <v>32</v>
      </c>
      <c r="O32" s="48" t="s">
        <v>240</v>
      </c>
      <c r="P32" s="48" t="s">
        <v>241</v>
      </c>
    </row>
    <row r="33" spans="1:16" ht="52.5" customHeight="1" x14ac:dyDescent="0.2">
      <c r="A33" s="81">
        <f t="shared" si="4"/>
        <v>20</v>
      </c>
      <c r="B33" s="195" t="s">
        <v>65</v>
      </c>
      <c r="C33" s="5" t="s">
        <v>11</v>
      </c>
      <c r="D33" s="88">
        <v>5000</v>
      </c>
      <c r="E33" s="88">
        <f t="shared" ref="E33:E38" si="8">D33*30/100</f>
        <v>1500</v>
      </c>
      <c r="F33" s="88">
        <v>0</v>
      </c>
      <c r="G33" s="37">
        <f t="shared" si="1"/>
        <v>0</v>
      </c>
      <c r="H33" s="124" t="s">
        <v>36</v>
      </c>
      <c r="I33" s="121">
        <v>810</v>
      </c>
      <c r="J33" s="121">
        <v>900</v>
      </c>
      <c r="K33" s="121">
        <v>910</v>
      </c>
      <c r="L33" s="121">
        <v>701</v>
      </c>
      <c r="M33" s="126">
        <f t="shared" ref="M33" si="9">L33/K33*100</f>
        <v>77.032967032967036</v>
      </c>
      <c r="N33" s="121">
        <v>920</v>
      </c>
      <c r="O33" s="48" t="s">
        <v>29</v>
      </c>
    </row>
    <row r="34" spans="1:16" ht="51" customHeight="1" x14ac:dyDescent="0.2">
      <c r="A34" s="81">
        <f t="shared" si="4"/>
        <v>21</v>
      </c>
      <c r="B34" s="52" t="s">
        <v>32</v>
      </c>
      <c r="C34" s="5" t="s">
        <v>11</v>
      </c>
      <c r="D34" s="56">
        <v>1100</v>
      </c>
      <c r="E34" s="88">
        <v>1094.5</v>
      </c>
      <c r="F34" s="56">
        <v>0</v>
      </c>
      <c r="G34" s="37">
        <f t="shared" si="1"/>
        <v>0</v>
      </c>
      <c r="H34" s="125"/>
      <c r="I34" s="122"/>
      <c r="J34" s="122"/>
      <c r="K34" s="122"/>
      <c r="L34" s="122"/>
      <c r="M34" s="138"/>
      <c r="N34" s="122"/>
      <c r="O34" s="48" t="s">
        <v>242</v>
      </c>
      <c r="P34" s="48" t="s">
        <v>243</v>
      </c>
    </row>
    <row r="35" spans="1:16" ht="66" customHeight="1" x14ac:dyDescent="0.2">
      <c r="A35" s="81">
        <f t="shared" si="4"/>
        <v>22</v>
      </c>
      <c r="B35" s="23" t="s">
        <v>66</v>
      </c>
      <c r="C35" s="5" t="s">
        <v>11</v>
      </c>
      <c r="D35" s="56">
        <v>1000</v>
      </c>
      <c r="E35" s="88">
        <v>1000</v>
      </c>
      <c r="F35" s="56">
        <v>250</v>
      </c>
      <c r="G35" s="37">
        <f t="shared" si="1"/>
        <v>25</v>
      </c>
      <c r="H35" s="125"/>
      <c r="I35" s="122"/>
      <c r="J35" s="122"/>
      <c r="K35" s="122"/>
      <c r="L35" s="122"/>
      <c r="M35" s="138"/>
      <c r="N35" s="122"/>
      <c r="O35" s="48" t="s">
        <v>218</v>
      </c>
      <c r="P35" s="48" t="s">
        <v>219</v>
      </c>
    </row>
    <row r="36" spans="1:16" ht="110.25" x14ac:dyDescent="0.2">
      <c r="A36" s="81">
        <f t="shared" si="4"/>
        <v>23</v>
      </c>
      <c r="B36" s="24" t="s">
        <v>180</v>
      </c>
      <c r="C36" s="5" t="s">
        <v>11</v>
      </c>
      <c r="D36" s="56">
        <v>6500</v>
      </c>
      <c r="E36" s="56">
        <f>6500-643.482</f>
        <v>5856.518</v>
      </c>
      <c r="F36" s="56">
        <v>1935</v>
      </c>
      <c r="G36" s="37">
        <f t="shared" si="1"/>
        <v>33.040110181510585</v>
      </c>
      <c r="H36" s="125"/>
      <c r="I36" s="122"/>
      <c r="J36" s="122"/>
      <c r="K36" s="122"/>
      <c r="L36" s="122"/>
      <c r="M36" s="138"/>
      <c r="N36" s="122"/>
      <c r="O36" s="48" t="s">
        <v>182</v>
      </c>
      <c r="P36" s="48" t="s">
        <v>183</v>
      </c>
    </row>
    <row r="37" spans="1:16" ht="145.5" customHeight="1" x14ac:dyDescent="0.2">
      <c r="A37" s="81">
        <f t="shared" si="4"/>
        <v>24</v>
      </c>
      <c r="B37" s="24" t="s">
        <v>181</v>
      </c>
      <c r="C37" s="5" t="s">
        <v>11</v>
      </c>
      <c r="D37" s="56">
        <v>2012.8</v>
      </c>
      <c r="E37" s="56">
        <v>2012.8</v>
      </c>
      <c r="F37" s="56">
        <v>603.84</v>
      </c>
      <c r="G37" s="37">
        <f t="shared" si="1"/>
        <v>30.000000000000004</v>
      </c>
      <c r="H37" s="125"/>
      <c r="I37" s="122"/>
      <c r="J37" s="122"/>
      <c r="K37" s="122"/>
      <c r="L37" s="122"/>
      <c r="M37" s="138"/>
      <c r="N37" s="122"/>
      <c r="O37" s="48" t="s">
        <v>184</v>
      </c>
      <c r="P37" s="48" t="s">
        <v>185</v>
      </c>
    </row>
    <row r="38" spans="1:16" ht="68.25" customHeight="1" x14ac:dyDescent="0.2">
      <c r="A38" s="81">
        <f t="shared" si="4"/>
        <v>25</v>
      </c>
      <c r="B38" s="196" t="s">
        <v>34</v>
      </c>
      <c r="C38" s="5" t="s">
        <v>11</v>
      </c>
      <c r="D38" s="56">
        <v>5000</v>
      </c>
      <c r="E38" s="88">
        <f t="shared" si="8"/>
        <v>1500</v>
      </c>
      <c r="F38" s="56">
        <v>0</v>
      </c>
      <c r="G38" s="37">
        <f t="shared" ref="G38:G60" si="10">F38/E38*100</f>
        <v>0</v>
      </c>
      <c r="H38" s="125"/>
      <c r="I38" s="122"/>
      <c r="J38" s="122"/>
      <c r="K38" s="122"/>
      <c r="L38" s="122"/>
      <c r="M38" s="138"/>
      <c r="N38" s="122"/>
      <c r="O38" s="48" t="s">
        <v>29</v>
      </c>
    </row>
    <row r="39" spans="1:16" ht="66.75" customHeight="1" x14ac:dyDescent="0.2">
      <c r="A39" s="81">
        <f t="shared" si="4"/>
        <v>26</v>
      </c>
      <c r="B39" s="24" t="s">
        <v>35</v>
      </c>
      <c r="C39" s="5" t="s">
        <v>11</v>
      </c>
      <c r="D39" s="56">
        <v>100</v>
      </c>
      <c r="E39" s="56">
        <v>100</v>
      </c>
      <c r="F39" s="197">
        <v>34.482999999999997</v>
      </c>
      <c r="G39" s="37">
        <f t="shared" si="10"/>
        <v>34.482999999999997</v>
      </c>
      <c r="H39" s="125"/>
      <c r="I39" s="122"/>
      <c r="J39" s="122"/>
      <c r="K39" s="122"/>
      <c r="L39" s="122"/>
      <c r="M39" s="138"/>
      <c r="N39" s="122"/>
      <c r="O39" s="48" t="s">
        <v>222</v>
      </c>
    </row>
    <row r="40" spans="1:16" ht="49.5" customHeight="1" x14ac:dyDescent="0.2">
      <c r="A40" s="81">
        <f t="shared" si="4"/>
        <v>27</v>
      </c>
      <c r="B40" s="24" t="s">
        <v>67</v>
      </c>
      <c r="C40" s="5" t="s">
        <v>11</v>
      </c>
      <c r="D40" s="56">
        <v>1000</v>
      </c>
      <c r="E40" s="88">
        <v>470</v>
      </c>
      <c r="F40" s="56">
        <v>470</v>
      </c>
      <c r="G40" s="37">
        <f t="shared" si="10"/>
        <v>100</v>
      </c>
      <c r="H40" s="125"/>
      <c r="I40" s="122"/>
      <c r="J40" s="122"/>
      <c r="K40" s="122"/>
      <c r="L40" s="122"/>
      <c r="M40" s="138"/>
      <c r="N40" s="122"/>
      <c r="O40" s="48" t="s">
        <v>220</v>
      </c>
      <c r="P40" s="48" t="s">
        <v>221</v>
      </c>
    </row>
    <row r="41" spans="1:16" ht="52.5" customHeight="1" x14ac:dyDescent="0.2">
      <c r="A41" s="81">
        <f t="shared" si="4"/>
        <v>28</v>
      </c>
      <c r="B41" s="24" t="s">
        <v>68</v>
      </c>
      <c r="C41" s="5" t="s">
        <v>11</v>
      </c>
      <c r="D41" s="56">
        <v>5000</v>
      </c>
      <c r="E41" s="56">
        <v>4750</v>
      </c>
      <c r="F41" s="56">
        <f>1425+3295</f>
        <v>4720</v>
      </c>
      <c r="G41" s="37">
        <f t="shared" si="10"/>
        <v>99.368421052631589</v>
      </c>
      <c r="H41" s="125"/>
      <c r="I41" s="122"/>
      <c r="J41" s="122"/>
      <c r="K41" s="122"/>
      <c r="L41" s="122"/>
      <c r="M41" s="138"/>
      <c r="N41" s="122"/>
      <c r="O41" s="48" t="s">
        <v>178</v>
      </c>
      <c r="P41" s="48" t="s">
        <v>179</v>
      </c>
    </row>
    <row r="42" spans="1:16" ht="50.25" customHeight="1" x14ac:dyDescent="0.2">
      <c r="A42" s="81">
        <f t="shared" si="4"/>
        <v>29</v>
      </c>
      <c r="B42" s="24" t="s">
        <v>120</v>
      </c>
      <c r="C42" s="5" t="s">
        <v>11</v>
      </c>
      <c r="D42" s="56">
        <v>3560</v>
      </c>
      <c r="E42" s="56">
        <v>3560</v>
      </c>
      <c r="F42" s="56">
        <f>96.052+87.936+49.75+49.75+60.3+137.89762</f>
        <v>481.68561999999997</v>
      </c>
      <c r="G42" s="37">
        <f t="shared" si="10"/>
        <v>13.530494943820223</v>
      </c>
      <c r="H42" s="125"/>
      <c r="I42" s="122"/>
      <c r="J42" s="122"/>
      <c r="K42" s="122"/>
      <c r="L42" s="122"/>
      <c r="M42" s="138"/>
      <c r="N42" s="122"/>
      <c r="O42" s="198" t="s">
        <v>223</v>
      </c>
      <c r="P42" s="48" t="s">
        <v>224</v>
      </c>
    </row>
    <row r="43" spans="1:16" ht="51.75" customHeight="1" x14ac:dyDescent="0.2">
      <c r="A43" s="81">
        <f t="shared" si="4"/>
        <v>30</v>
      </c>
      <c r="B43" s="24" t="s">
        <v>121</v>
      </c>
      <c r="C43" s="5" t="s">
        <v>11</v>
      </c>
      <c r="D43" s="56">
        <v>2900</v>
      </c>
      <c r="E43" s="88">
        <v>99.6</v>
      </c>
      <c r="F43" s="56">
        <v>99.6</v>
      </c>
      <c r="G43" s="37">
        <f t="shared" si="10"/>
        <v>100</v>
      </c>
      <c r="H43" s="108"/>
      <c r="I43" s="119"/>
      <c r="J43" s="119"/>
      <c r="K43" s="119"/>
      <c r="L43" s="119"/>
      <c r="M43" s="87"/>
      <c r="N43" s="119"/>
      <c r="O43" s="83" t="s">
        <v>227</v>
      </c>
      <c r="P43" s="83" t="s">
        <v>228</v>
      </c>
    </row>
    <row r="44" spans="1:16" ht="57" customHeight="1" x14ac:dyDescent="0.2">
      <c r="A44" s="81">
        <f t="shared" si="4"/>
        <v>31</v>
      </c>
      <c r="B44" s="24" t="s">
        <v>122</v>
      </c>
      <c r="C44" s="5" t="s">
        <v>11</v>
      </c>
      <c r="D44" s="56">
        <v>490</v>
      </c>
      <c r="E44" s="88">
        <v>0</v>
      </c>
      <c r="F44" s="56">
        <v>0</v>
      </c>
      <c r="G44" s="37">
        <v>0</v>
      </c>
      <c r="H44" s="108"/>
      <c r="I44" s="119"/>
      <c r="J44" s="119"/>
      <c r="K44" s="119"/>
      <c r="L44" s="119"/>
      <c r="M44" s="87"/>
      <c r="N44" s="119"/>
    </row>
    <row r="45" spans="1:16" ht="52.5" customHeight="1" x14ac:dyDescent="0.2">
      <c r="A45" s="81">
        <f t="shared" si="4"/>
        <v>32</v>
      </c>
      <c r="B45" s="24" t="s">
        <v>123</v>
      </c>
      <c r="C45" s="5" t="s">
        <v>11</v>
      </c>
      <c r="D45" s="56">
        <v>1700</v>
      </c>
      <c r="E45" s="88">
        <v>1281.5</v>
      </c>
      <c r="F45" s="56">
        <v>0</v>
      </c>
      <c r="G45" s="37">
        <v>0</v>
      </c>
      <c r="H45" s="108"/>
      <c r="I45" s="119"/>
      <c r="J45" s="119"/>
      <c r="K45" s="119"/>
      <c r="L45" s="119"/>
      <c r="M45" s="87"/>
      <c r="N45" s="119"/>
      <c r="O45" s="48" t="s">
        <v>244</v>
      </c>
      <c r="P45" s="48" t="s">
        <v>245</v>
      </c>
    </row>
    <row r="46" spans="1:16" ht="81.75" customHeight="1" x14ac:dyDescent="0.2">
      <c r="A46" s="81">
        <f t="shared" si="4"/>
        <v>33</v>
      </c>
      <c r="B46" s="24" t="s">
        <v>211</v>
      </c>
      <c r="C46" s="5" t="s">
        <v>212</v>
      </c>
      <c r="D46" s="56">
        <v>542.20000000000005</v>
      </c>
      <c r="E46" s="88">
        <v>542.20000000000005</v>
      </c>
      <c r="F46" s="56">
        <f>292.3+249.9</f>
        <v>542.20000000000005</v>
      </c>
      <c r="G46" s="37">
        <f t="shared" si="10"/>
        <v>100</v>
      </c>
      <c r="H46" s="108"/>
      <c r="I46" s="119"/>
      <c r="J46" s="119"/>
      <c r="K46" s="119"/>
      <c r="L46" s="119"/>
      <c r="M46" s="87"/>
      <c r="N46" s="119"/>
      <c r="O46" s="83" t="s">
        <v>216</v>
      </c>
      <c r="P46" s="48" t="s">
        <v>215</v>
      </c>
    </row>
    <row r="47" spans="1:16" ht="84" customHeight="1" x14ac:dyDescent="0.2">
      <c r="A47" s="81">
        <f t="shared" si="4"/>
        <v>34</v>
      </c>
      <c r="B47" s="24" t="s">
        <v>214</v>
      </c>
      <c r="C47" s="5" t="s">
        <v>212</v>
      </c>
      <c r="D47" s="56">
        <v>426.6</v>
      </c>
      <c r="E47" s="88">
        <f>189.1+237.5</f>
        <v>426.6</v>
      </c>
      <c r="F47" s="56">
        <f>189.1+230.9</f>
        <v>420</v>
      </c>
      <c r="G47" s="37">
        <f t="shared" si="10"/>
        <v>98.452883263009838</v>
      </c>
      <c r="H47" s="108"/>
      <c r="I47" s="119"/>
      <c r="J47" s="119"/>
      <c r="K47" s="119"/>
      <c r="L47" s="119"/>
      <c r="M47" s="87"/>
      <c r="N47" s="119"/>
      <c r="O47" s="83" t="s">
        <v>217</v>
      </c>
      <c r="P47" s="48" t="s">
        <v>215</v>
      </c>
    </row>
    <row r="48" spans="1:16" ht="52.5" customHeight="1" x14ac:dyDescent="0.2">
      <c r="A48" s="81">
        <f t="shared" si="4"/>
        <v>35</v>
      </c>
      <c r="B48" s="24" t="s">
        <v>213</v>
      </c>
      <c r="C48" s="5" t="s">
        <v>212</v>
      </c>
      <c r="D48" s="56">
        <v>1970.1</v>
      </c>
      <c r="E48" s="88">
        <v>1970.1</v>
      </c>
      <c r="F48" s="56">
        <v>0</v>
      </c>
      <c r="G48" s="37">
        <f t="shared" si="10"/>
        <v>0</v>
      </c>
      <c r="H48" s="108"/>
      <c r="I48" s="119"/>
      <c r="J48" s="119"/>
      <c r="K48" s="119"/>
      <c r="L48" s="119"/>
      <c r="M48" s="87"/>
      <c r="N48" s="119"/>
      <c r="O48" s="48" t="s">
        <v>225</v>
      </c>
      <c r="P48" s="48" t="s">
        <v>226</v>
      </c>
    </row>
    <row r="49" spans="1:14" ht="76.5" customHeight="1" x14ac:dyDescent="0.2">
      <c r="A49" s="81"/>
      <c r="B49" s="9" t="s">
        <v>295</v>
      </c>
      <c r="C49" s="6" t="s">
        <v>11</v>
      </c>
      <c r="D49" s="58">
        <f>SUM(D50:D56)</f>
        <v>17759.350419999999</v>
      </c>
      <c r="E49" s="58">
        <f>SUM(E50:E56)</f>
        <v>17759.350419999999</v>
      </c>
      <c r="F49" s="58">
        <f>SUM(F50:F56)</f>
        <v>4222.5504200000005</v>
      </c>
      <c r="G49" s="191">
        <f t="shared" si="10"/>
        <v>23.776491370116233</v>
      </c>
      <c r="H49" s="111"/>
      <c r="I49" s="89"/>
      <c r="J49" s="89"/>
      <c r="K49" s="89"/>
      <c r="L49" s="89"/>
      <c r="M49" s="85"/>
      <c r="N49" s="89"/>
    </row>
    <row r="50" spans="1:14" ht="90" customHeight="1" x14ac:dyDescent="0.2">
      <c r="A50" s="81">
        <v>1</v>
      </c>
      <c r="B50" s="52" t="s">
        <v>56</v>
      </c>
      <c r="C50" s="5" t="s">
        <v>11</v>
      </c>
      <c r="D50" s="88">
        <v>975.2</v>
      </c>
      <c r="E50" s="88">
        <v>975.2</v>
      </c>
      <c r="F50" s="88">
        <v>975.2</v>
      </c>
      <c r="G50" s="37">
        <f t="shared" si="10"/>
        <v>100</v>
      </c>
      <c r="H50" s="23" t="s">
        <v>59</v>
      </c>
      <c r="I50" s="91">
        <v>40</v>
      </c>
      <c r="J50" s="91">
        <v>40</v>
      </c>
      <c r="K50" s="91">
        <v>42</v>
      </c>
      <c r="L50" s="91" t="s">
        <v>29</v>
      </c>
      <c r="M50" s="100" t="s">
        <v>29</v>
      </c>
      <c r="N50" s="91">
        <v>45</v>
      </c>
    </row>
    <row r="51" spans="1:14" ht="144" customHeight="1" x14ac:dyDescent="0.2">
      <c r="A51" s="199">
        <f>A50+1</f>
        <v>2</v>
      </c>
      <c r="B51" s="200" t="s">
        <v>158</v>
      </c>
      <c r="C51" s="159" t="s">
        <v>11</v>
      </c>
      <c r="D51" s="201">
        <v>3247.3504200000002</v>
      </c>
      <c r="E51" s="201">
        <v>3247.3504200000002</v>
      </c>
      <c r="F51" s="201">
        <v>3247.3504200000002</v>
      </c>
      <c r="G51" s="131">
        <f t="shared" si="10"/>
        <v>100</v>
      </c>
      <c r="H51" s="22" t="s">
        <v>70</v>
      </c>
      <c r="I51" s="90">
        <v>60</v>
      </c>
      <c r="J51" s="90">
        <v>60</v>
      </c>
      <c r="K51" s="90">
        <v>65</v>
      </c>
      <c r="L51" s="91" t="s">
        <v>29</v>
      </c>
      <c r="M51" s="100" t="s">
        <v>29</v>
      </c>
      <c r="N51" s="90">
        <v>70</v>
      </c>
    </row>
    <row r="52" spans="1:14" ht="84.75" customHeight="1" x14ac:dyDescent="0.2">
      <c r="A52" s="202"/>
      <c r="B52" s="203"/>
      <c r="C52" s="173"/>
      <c r="D52" s="204"/>
      <c r="E52" s="204"/>
      <c r="F52" s="204"/>
      <c r="G52" s="132"/>
      <c r="H52" s="22" t="s">
        <v>69</v>
      </c>
      <c r="I52" s="90">
        <v>30</v>
      </c>
      <c r="J52" s="90">
        <v>30</v>
      </c>
      <c r="K52" s="90">
        <v>35</v>
      </c>
      <c r="L52" s="91" t="s">
        <v>29</v>
      </c>
      <c r="M52" s="100" t="s">
        <v>29</v>
      </c>
      <c r="N52" s="90">
        <v>40</v>
      </c>
    </row>
    <row r="53" spans="1:14" ht="99" customHeight="1" x14ac:dyDescent="0.2">
      <c r="A53" s="202"/>
      <c r="B53" s="203"/>
      <c r="C53" s="173"/>
      <c r="D53" s="204"/>
      <c r="E53" s="204"/>
      <c r="F53" s="204"/>
      <c r="G53" s="132"/>
      <c r="H53" s="22" t="s">
        <v>71</v>
      </c>
      <c r="I53" s="90">
        <v>18</v>
      </c>
      <c r="J53" s="90">
        <v>18</v>
      </c>
      <c r="K53" s="90">
        <v>20</v>
      </c>
      <c r="L53" s="91" t="s">
        <v>29</v>
      </c>
      <c r="M53" s="100" t="s">
        <v>29</v>
      </c>
      <c r="N53" s="90">
        <v>22</v>
      </c>
    </row>
    <row r="54" spans="1:14" ht="53.25" customHeight="1" x14ac:dyDescent="0.2">
      <c r="A54" s="202"/>
      <c r="B54" s="203"/>
      <c r="C54" s="173"/>
      <c r="D54" s="204"/>
      <c r="E54" s="204"/>
      <c r="F54" s="204"/>
      <c r="G54" s="132"/>
      <c r="H54" s="22" t="s">
        <v>74</v>
      </c>
      <c r="I54" s="90">
        <v>33</v>
      </c>
      <c r="J54" s="90">
        <v>33</v>
      </c>
      <c r="K54" s="90">
        <v>49</v>
      </c>
      <c r="L54" s="91" t="s">
        <v>29</v>
      </c>
      <c r="M54" s="100" t="s">
        <v>29</v>
      </c>
      <c r="N54" s="90">
        <v>66</v>
      </c>
    </row>
    <row r="55" spans="1:14" ht="113.25" customHeight="1" x14ac:dyDescent="0.2">
      <c r="A55" s="202"/>
      <c r="B55" s="203"/>
      <c r="C55" s="173"/>
      <c r="D55" s="204"/>
      <c r="E55" s="204"/>
      <c r="F55" s="204"/>
      <c r="G55" s="132"/>
      <c r="H55" s="22" t="s">
        <v>72</v>
      </c>
      <c r="I55" s="90">
        <v>0</v>
      </c>
      <c r="J55" s="90">
        <v>0</v>
      </c>
      <c r="K55" s="90">
        <v>0</v>
      </c>
      <c r="L55" s="91" t="s">
        <v>29</v>
      </c>
      <c r="M55" s="100" t="s">
        <v>29</v>
      </c>
      <c r="N55" s="90">
        <v>5</v>
      </c>
    </row>
    <row r="56" spans="1:14" ht="63.75" customHeight="1" x14ac:dyDescent="0.2">
      <c r="A56" s="205">
        <v>3</v>
      </c>
      <c r="B56" s="206" t="s">
        <v>188</v>
      </c>
      <c r="C56" s="102" t="s">
        <v>189</v>
      </c>
      <c r="D56" s="43">
        <v>13536.8</v>
      </c>
      <c r="E56" s="43">
        <v>13536.8</v>
      </c>
      <c r="F56" s="43">
        <v>0</v>
      </c>
      <c r="G56" s="37">
        <f t="shared" si="10"/>
        <v>0</v>
      </c>
      <c r="H56" s="23" t="s">
        <v>73</v>
      </c>
      <c r="I56" s="91">
        <v>10</v>
      </c>
      <c r="J56" s="91">
        <v>10</v>
      </c>
      <c r="K56" s="91">
        <v>20</v>
      </c>
      <c r="L56" s="91" t="s">
        <v>29</v>
      </c>
      <c r="M56" s="100" t="s">
        <v>29</v>
      </c>
      <c r="N56" s="91">
        <v>30</v>
      </c>
    </row>
    <row r="57" spans="1:14" ht="49.5" customHeight="1" x14ac:dyDescent="0.2">
      <c r="A57" s="81"/>
      <c r="B57" s="9" t="s">
        <v>296</v>
      </c>
      <c r="C57" s="6" t="s">
        <v>11</v>
      </c>
      <c r="D57" s="59">
        <f>SUM(D58:D70)</f>
        <v>37500</v>
      </c>
      <c r="E57" s="59">
        <f>SUM(E58:E70)</f>
        <v>12000</v>
      </c>
      <c r="F57" s="59">
        <f>SUM(F58:F70)</f>
        <v>5126.628999999999</v>
      </c>
      <c r="G57" s="12">
        <f t="shared" si="10"/>
        <v>42.721908333333324</v>
      </c>
      <c r="H57" s="111"/>
      <c r="I57" s="89"/>
      <c r="J57" s="89"/>
      <c r="K57" s="89"/>
      <c r="L57" s="89"/>
      <c r="M57" s="89"/>
      <c r="N57" s="89"/>
    </row>
    <row r="58" spans="1:14" ht="51" customHeight="1" x14ac:dyDescent="0.2">
      <c r="A58" s="81">
        <v>1</v>
      </c>
      <c r="B58" s="195" t="s">
        <v>12</v>
      </c>
      <c r="C58" s="5" t="s">
        <v>11</v>
      </c>
      <c r="D58" s="56">
        <v>1000</v>
      </c>
      <c r="E58" s="56">
        <v>0</v>
      </c>
      <c r="F58" s="56">
        <v>0</v>
      </c>
      <c r="G58" s="37">
        <v>0</v>
      </c>
      <c r="H58" s="124" t="s">
        <v>133</v>
      </c>
      <c r="I58" s="90">
        <v>18</v>
      </c>
      <c r="J58" s="90">
        <v>18</v>
      </c>
      <c r="K58" s="90">
        <v>20</v>
      </c>
      <c r="L58" s="90" t="s">
        <v>29</v>
      </c>
      <c r="M58" s="90" t="s">
        <v>29</v>
      </c>
      <c r="N58" s="90">
        <v>22</v>
      </c>
    </row>
    <row r="59" spans="1:14" ht="114.75" customHeight="1" x14ac:dyDescent="0.2">
      <c r="A59" s="81">
        <f t="shared" ref="A59:A61" si="11">A58+1</f>
        <v>2</v>
      </c>
      <c r="B59" s="195" t="s">
        <v>101</v>
      </c>
      <c r="C59" s="5" t="s">
        <v>11</v>
      </c>
      <c r="D59" s="56">
        <v>5000</v>
      </c>
      <c r="E59" s="56">
        <v>1000</v>
      </c>
      <c r="F59" s="56">
        <v>0</v>
      </c>
      <c r="G59" s="37">
        <v>0</v>
      </c>
      <c r="H59" s="125"/>
      <c r="I59" s="29"/>
      <c r="J59" s="29"/>
      <c r="K59" s="29"/>
      <c r="L59" s="29"/>
      <c r="M59" s="29"/>
      <c r="N59" s="29"/>
    </row>
    <row r="60" spans="1:14" ht="98.25" customHeight="1" x14ac:dyDescent="0.2">
      <c r="A60" s="81">
        <f t="shared" si="11"/>
        <v>3</v>
      </c>
      <c r="B60" s="195" t="s">
        <v>75</v>
      </c>
      <c r="C60" s="5" t="s">
        <v>11</v>
      </c>
      <c r="D60" s="56">
        <v>4500</v>
      </c>
      <c r="E60" s="56">
        <v>4000</v>
      </c>
      <c r="F60" s="56">
        <f>845.621+1249.36</f>
        <v>2094.9809999999998</v>
      </c>
      <c r="G60" s="37">
        <f t="shared" si="10"/>
        <v>52.374524999999991</v>
      </c>
      <c r="H60" s="125"/>
      <c r="I60" s="29"/>
      <c r="J60" s="29"/>
      <c r="K60" s="29"/>
      <c r="L60" s="29"/>
      <c r="M60" s="29"/>
      <c r="N60" s="29"/>
    </row>
    <row r="61" spans="1:14" ht="53.25" customHeight="1" x14ac:dyDescent="0.2">
      <c r="A61" s="81">
        <f t="shared" si="11"/>
        <v>4</v>
      </c>
      <c r="B61" s="195" t="s">
        <v>76</v>
      </c>
      <c r="C61" s="5" t="s">
        <v>11</v>
      </c>
      <c r="D61" s="56">
        <v>2500</v>
      </c>
      <c r="E61" s="56">
        <v>0</v>
      </c>
      <c r="F61" s="56">
        <v>0</v>
      </c>
      <c r="G61" s="37">
        <v>0</v>
      </c>
      <c r="H61" s="29"/>
      <c r="I61" s="29"/>
      <c r="J61" s="29"/>
      <c r="K61" s="29"/>
      <c r="L61" s="29"/>
      <c r="M61" s="29"/>
      <c r="N61" s="29"/>
    </row>
    <row r="62" spans="1:14" ht="96" customHeight="1" x14ac:dyDescent="0.2">
      <c r="A62" s="81">
        <f t="shared" ref="A62:A70" si="12">A61+1</f>
        <v>5</v>
      </c>
      <c r="B62" s="195" t="s">
        <v>102</v>
      </c>
      <c r="C62" s="5" t="s">
        <v>11</v>
      </c>
      <c r="D62" s="56">
        <v>1200</v>
      </c>
      <c r="E62" s="56">
        <v>1000</v>
      </c>
      <c r="F62" s="56">
        <v>676.55799999999999</v>
      </c>
      <c r="G62" s="37">
        <v>0</v>
      </c>
      <c r="H62" s="29"/>
      <c r="I62" s="29"/>
      <c r="J62" s="29"/>
      <c r="K62" s="29"/>
      <c r="L62" s="29"/>
      <c r="M62" s="29"/>
      <c r="N62" s="29"/>
    </row>
    <row r="63" spans="1:14" ht="96.75" customHeight="1" x14ac:dyDescent="0.2">
      <c r="A63" s="81">
        <f t="shared" si="12"/>
        <v>6</v>
      </c>
      <c r="B63" s="195" t="s">
        <v>165</v>
      </c>
      <c r="C63" s="5" t="s">
        <v>11</v>
      </c>
      <c r="D63" s="56">
        <v>1500</v>
      </c>
      <c r="E63" s="56">
        <v>1000</v>
      </c>
      <c r="F63" s="56">
        <v>576.14599999999996</v>
      </c>
      <c r="G63" s="37">
        <v>0</v>
      </c>
      <c r="H63" s="29"/>
      <c r="I63" s="29"/>
      <c r="J63" s="29"/>
      <c r="K63" s="29"/>
      <c r="L63" s="29"/>
      <c r="M63" s="29"/>
      <c r="N63" s="29"/>
    </row>
    <row r="64" spans="1:14" ht="65.25" customHeight="1" x14ac:dyDescent="0.2">
      <c r="A64" s="81">
        <f t="shared" si="12"/>
        <v>7</v>
      </c>
      <c r="B64" s="195" t="s">
        <v>13</v>
      </c>
      <c r="C64" s="5" t="s">
        <v>11</v>
      </c>
      <c r="D64" s="56">
        <v>300</v>
      </c>
      <c r="E64" s="56">
        <v>0</v>
      </c>
      <c r="F64" s="56">
        <v>0</v>
      </c>
      <c r="G64" s="37">
        <v>0</v>
      </c>
      <c r="H64" s="29"/>
      <c r="I64" s="29"/>
      <c r="J64" s="29"/>
      <c r="K64" s="29"/>
      <c r="L64" s="29"/>
      <c r="M64" s="29"/>
      <c r="N64" s="29"/>
    </row>
    <row r="65" spans="1:16" ht="63" x14ac:dyDescent="0.2">
      <c r="A65" s="81">
        <f t="shared" si="12"/>
        <v>8</v>
      </c>
      <c r="B65" s="195" t="s">
        <v>166</v>
      </c>
      <c r="C65" s="5" t="s">
        <v>11</v>
      </c>
      <c r="D65" s="56">
        <v>900</v>
      </c>
      <c r="E65" s="56">
        <v>0</v>
      </c>
      <c r="F65" s="56">
        <v>0</v>
      </c>
      <c r="G65" s="37">
        <v>0</v>
      </c>
      <c r="H65" s="111" t="s">
        <v>199</v>
      </c>
      <c r="I65" s="89">
        <v>4</v>
      </c>
      <c r="J65" s="89">
        <v>4</v>
      </c>
      <c r="K65" s="89">
        <v>4</v>
      </c>
      <c r="L65" s="89" t="s">
        <v>29</v>
      </c>
      <c r="M65" s="89" t="s">
        <v>29</v>
      </c>
      <c r="N65" s="89">
        <v>4</v>
      </c>
    </row>
    <row r="66" spans="1:16" ht="65.25" customHeight="1" x14ac:dyDescent="0.2">
      <c r="A66" s="81">
        <f t="shared" si="12"/>
        <v>9</v>
      </c>
      <c r="B66" s="195" t="s">
        <v>14</v>
      </c>
      <c r="C66" s="5" t="s">
        <v>11</v>
      </c>
      <c r="D66" s="56">
        <v>6000</v>
      </c>
      <c r="E66" s="56">
        <v>3000</v>
      </c>
      <c r="F66" s="56">
        <v>1778.944</v>
      </c>
      <c r="G66" s="37">
        <v>0</v>
      </c>
      <c r="H66" s="97" t="s">
        <v>134</v>
      </c>
      <c r="I66" s="90">
        <v>4</v>
      </c>
      <c r="J66" s="90">
        <v>8</v>
      </c>
      <c r="K66" s="90">
        <v>4</v>
      </c>
      <c r="L66" s="89" t="s">
        <v>29</v>
      </c>
      <c r="M66" s="89" t="s">
        <v>29</v>
      </c>
      <c r="N66" s="90">
        <v>4</v>
      </c>
    </row>
    <row r="67" spans="1:16" ht="97.5" customHeight="1" x14ac:dyDescent="0.2">
      <c r="A67" s="81">
        <f t="shared" si="12"/>
        <v>10</v>
      </c>
      <c r="B67" s="195" t="s">
        <v>15</v>
      </c>
      <c r="C67" s="5" t="s">
        <v>11</v>
      </c>
      <c r="D67" s="56">
        <v>3000</v>
      </c>
      <c r="E67" s="56">
        <v>0</v>
      </c>
      <c r="F67" s="56">
        <v>0</v>
      </c>
      <c r="G67" s="37">
        <v>0</v>
      </c>
      <c r="H67" s="97" t="s">
        <v>135</v>
      </c>
      <c r="I67" s="90">
        <v>43</v>
      </c>
      <c r="J67" s="90">
        <v>43</v>
      </c>
      <c r="K67" s="90">
        <v>44</v>
      </c>
      <c r="L67" s="89" t="s">
        <v>29</v>
      </c>
      <c r="M67" s="89" t="s">
        <v>29</v>
      </c>
      <c r="N67" s="90">
        <v>45</v>
      </c>
    </row>
    <row r="68" spans="1:16" ht="177.75" customHeight="1" x14ac:dyDescent="0.2">
      <c r="A68" s="81">
        <f t="shared" si="12"/>
        <v>11</v>
      </c>
      <c r="B68" s="195" t="s">
        <v>16</v>
      </c>
      <c r="C68" s="5" t="s">
        <v>11</v>
      </c>
      <c r="D68" s="56">
        <v>3500</v>
      </c>
      <c r="E68" s="56">
        <v>0</v>
      </c>
      <c r="F68" s="56">
        <v>0</v>
      </c>
      <c r="G68" s="37">
        <v>0</v>
      </c>
      <c r="H68" s="52" t="s">
        <v>136</v>
      </c>
      <c r="I68" s="89">
        <v>33</v>
      </c>
      <c r="J68" s="89">
        <v>33</v>
      </c>
      <c r="K68" s="89">
        <v>34</v>
      </c>
      <c r="L68" s="89" t="s">
        <v>29</v>
      </c>
      <c r="M68" s="89" t="s">
        <v>29</v>
      </c>
      <c r="N68" s="89">
        <v>35</v>
      </c>
    </row>
    <row r="69" spans="1:16" ht="50.25" customHeight="1" x14ac:dyDescent="0.2">
      <c r="A69" s="81">
        <f t="shared" si="12"/>
        <v>12</v>
      </c>
      <c r="B69" s="195" t="s">
        <v>167</v>
      </c>
      <c r="C69" s="5" t="s">
        <v>11</v>
      </c>
      <c r="D69" s="56">
        <v>7100</v>
      </c>
      <c r="E69" s="56">
        <v>2000</v>
      </c>
      <c r="F69" s="56">
        <v>0</v>
      </c>
      <c r="G69" s="37">
        <v>0</v>
      </c>
      <c r="H69" s="124" t="s">
        <v>137</v>
      </c>
      <c r="I69" s="119">
        <v>40.4</v>
      </c>
      <c r="J69" s="119">
        <v>41</v>
      </c>
      <c r="K69" s="119">
        <v>40.6</v>
      </c>
      <c r="L69" s="121" t="s">
        <v>29</v>
      </c>
      <c r="M69" s="121" t="s">
        <v>29</v>
      </c>
      <c r="N69" s="119">
        <v>40.799999999999997</v>
      </c>
    </row>
    <row r="70" spans="1:16" ht="66" customHeight="1" x14ac:dyDescent="0.2">
      <c r="A70" s="81">
        <f t="shared" si="12"/>
        <v>13</v>
      </c>
      <c r="B70" s="207" t="s">
        <v>205</v>
      </c>
      <c r="C70" s="5" t="s">
        <v>11</v>
      </c>
      <c r="D70" s="56">
        <v>1000</v>
      </c>
      <c r="E70" s="56">
        <v>0</v>
      </c>
      <c r="F70" s="56">
        <v>0</v>
      </c>
      <c r="G70" s="37">
        <v>0</v>
      </c>
      <c r="H70" s="134"/>
      <c r="I70" s="23"/>
      <c r="J70" s="23"/>
      <c r="K70" s="23"/>
      <c r="L70" s="123"/>
      <c r="M70" s="123"/>
      <c r="N70" s="23"/>
    </row>
    <row r="71" spans="1:16" ht="28.5" customHeight="1" x14ac:dyDescent="0.2">
      <c r="A71" s="174"/>
      <c r="B71" s="152" t="s">
        <v>297</v>
      </c>
      <c r="C71" s="6" t="s">
        <v>19</v>
      </c>
      <c r="D71" s="59">
        <f>D72+D73</f>
        <v>362434.36829999997</v>
      </c>
      <c r="E71" s="59">
        <f>E72+E73</f>
        <v>165326.87830000001</v>
      </c>
      <c r="F71" s="59">
        <f>F72+F73</f>
        <v>18037.20104</v>
      </c>
      <c r="G71" s="12">
        <f t="shared" ref="G71:G107" si="13">F71/E71*100</f>
        <v>10.91002335825269</v>
      </c>
      <c r="H71" s="111"/>
      <c r="I71" s="89"/>
      <c r="J71" s="89"/>
      <c r="K71" s="89"/>
      <c r="L71" s="89"/>
      <c r="M71" s="89"/>
      <c r="N71" s="89"/>
    </row>
    <row r="72" spans="1:16" ht="48" customHeight="1" x14ac:dyDescent="0.2">
      <c r="A72" s="174"/>
      <c r="B72" s="152"/>
      <c r="C72" s="6" t="s">
        <v>18</v>
      </c>
      <c r="D72" s="59">
        <f>SUM(D74,D82)</f>
        <v>50494.7</v>
      </c>
      <c r="E72" s="59">
        <f>SUM(E74,E82)</f>
        <v>0</v>
      </c>
      <c r="F72" s="59">
        <f>SUM(F74,F82)</f>
        <v>0</v>
      </c>
      <c r="G72" s="12">
        <v>0</v>
      </c>
      <c r="H72" s="111"/>
      <c r="I72" s="89"/>
      <c r="J72" s="89"/>
      <c r="K72" s="89"/>
      <c r="L72" s="89"/>
      <c r="M72" s="89"/>
      <c r="N72" s="89"/>
    </row>
    <row r="73" spans="1:16" ht="49.5" customHeight="1" x14ac:dyDescent="0.2">
      <c r="A73" s="174"/>
      <c r="B73" s="152"/>
      <c r="C73" s="6" t="s">
        <v>11</v>
      </c>
      <c r="D73" s="59">
        <f>SUM(D76:D81,D83,D90:D111)</f>
        <v>311939.66829999996</v>
      </c>
      <c r="E73" s="59">
        <f t="shared" ref="E73:F73" si="14">SUM(E76:E81,E83,E90:E111)</f>
        <v>165326.87830000001</v>
      </c>
      <c r="F73" s="59">
        <f t="shared" si="14"/>
        <v>18037.20104</v>
      </c>
      <c r="G73" s="12">
        <f t="shared" si="13"/>
        <v>10.91002335825269</v>
      </c>
      <c r="H73" s="111"/>
      <c r="I73" s="89"/>
      <c r="J73" s="89"/>
      <c r="K73" s="89"/>
      <c r="L73" s="89"/>
      <c r="M73" s="89"/>
      <c r="N73" s="89"/>
    </row>
    <row r="74" spans="1:16" ht="98.25" customHeight="1" x14ac:dyDescent="0.2">
      <c r="A74" s="208">
        <v>1</v>
      </c>
      <c r="B74" s="209" t="s">
        <v>17</v>
      </c>
      <c r="C74" s="5" t="s">
        <v>18</v>
      </c>
      <c r="D74" s="56">
        <v>28412.1</v>
      </c>
      <c r="E74" s="56">
        <v>0</v>
      </c>
      <c r="F74" s="56">
        <v>0</v>
      </c>
      <c r="G74" s="96">
        <v>0</v>
      </c>
      <c r="H74" s="111" t="s">
        <v>107</v>
      </c>
      <c r="I74" s="89">
        <v>90</v>
      </c>
      <c r="J74" s="89">
        <v>91</v>
      </c>
      <c r="K74" s="89">
        <v>91</v>
      </c>
      <c r="L74" s="89">
        <v>91</v>
      </c>
      <c r="M74" s="85">
        <f>L74/K74*100</f>
        <v>100</v>
      </c>
      <c r="N74" s="89">
        <v>94</v>
      </c>
    </row>
    <row r="75" spans="1:16" ht="210.75" customHeight="1" x14ac:dyDescent="0.2">
      <c r="A75" s="208"/>
      <c r="B75" s="209"/>
      <c r="C75" s="5"/>
      <c r="D75" s="210"/>
      <c r="E75" s="60"/>
      <c r="F75" s="60"/>
      <c r="G75" s="211"/>
      <c r="H75" s="111" t="s">
        <v>108</v>
      </c>
      <c r="I75" s="89">
        <v>95</v>
      </c>
      <c r="J75" s="89">
        <v>96</v>
      </c>
      <c r="K75" s="89">
        <v>96</v>
      </c>
      <c r="L75" s="89">
        <v>96</v>
      </c>
      <c r="M75" s="85">
        <f>L75/K75*100</f>
        <v>100</v>
      </c>
      <c r="N75" s="89">
        <v>97</v>
      </c>
    </row>
    <row r="76" spans="1:16" ht="176.25" customHeight="1" x14ac:dyDescent="0.2">
      <c r="A76" s="205">
        <v>2</v>
      </c>
      <c r="B76" s="212" t="s">
        <v>126</v>
      </c>
      <c r="C76" s="28" t="s">
        <v>11</v>
      </c>
      <c r="D76" s="93">
        <v>7000</v>
      </c>
      <c r="E76" s="213">
        <v>7000</v>
      </c>
      <c r="F76" s="213">
        <v>0</v>
      </c>
      <c r="G76" s="96">
        <f t="shared" ref="G76:G78" si="15">F76/E76*100</f>
        <v>0</v>
      </c>
      <c r="H76" s="23" t="s">
        <v>109</v>
      </c>
      <c r="I76" s="89">
        <v>94</v>
      </c>
      <c r="J76" s="89">
        <v>94</v>
      </c>
      <c r="K76" s="89">
        <v>94</v>
      </c>
      <c r="L76" s="89">
        <v>94</v>
      </c>
      <c r="M76" s="85">
        <v>100</v>
      </c>
      <c r="N76" s="89">
        <v>94</v>
      </c>
    </row>
    <row r="77" spans="1:16" ht="178.5" customHeight="1" x14ac:dyDescent="0.2">
      <c r="A77" s="205">
        <v>3</v>
      </c>
      <c r="B77" s="105" t="s">
        <v>159</v>
      </c>
      <c r="C77" s="28" t="s">
        <v>124</v>
      </c>
      <c r="D77" s="93">
        <v>3240</v>
      </c>
      <c r="E77" s="93">
        <v>3240</v>
      </c>
      <c r="F77" s="93">
        <v>3225.1254199999998</v>
      </c>
      <c r="G77" s="96">
        <f t="shared" si="15"/>
        <v>99.540908024691362</v>
      </c>
      <c r="H77" s="214" t="s">
        <v>138</v>
      </c>
      <c r="I77" s="90">
        <v>66.599999999999994</v>
      </c>
      <c r="J77" s="90">
        <v>67.8</v>
      </c>
      <c r="K77" s="98">
        <v>68</v>
      </c>
      <c r="L77" s="90" t="s">
        <v>29</v>
      </c>
      <c r="M77" s="86" t="s">
        <v>29</v>
      </c>
      <c r="N77" s="90">
        <v>69.3</v>
      </c>
    </row>
    <row r="78" spans="1:16" ht="78.75" x14ac:dyDescent="0.2">
      <c r="A78" s="205">
        <f>A77+1</f>
        <v>4</v>
      </c>
      <c r="B78" s="105" t="s">
        <v>191</v>
      </c>
      <c r="C78" s="28" t="s">
        <v>200</v>
      </c>
      <c r="D78" s="93">
        <v>5000</v>
      </c>
      <c r="E78" s="93">
        <v>5000</v>
      </c>
      <c r="F78" s="93">
        <v>0</v>
      </c>
      <c r="G78" s="37">
        <f t="shared" si="15"/>
        <v>0</v>
      </c>
      <c r="H78" s="214" t="s">
        <v>267</v>
      </c>
      <c r="I78" s="90">
        <v>12.98</v>
      </c>
      <c r="J78" s="90">
        <v>12.98</v>
      </c>
      <c r="K78" s="98">
        <f>1.6+0.139</f>
        <v>1.7390000000000001</v>
      </c>
      <c r="L78" s="90"/>
      <c r="M78" s="86"/>
      <c r="N78" s="90"/>
    </row>
    <row r="79" spans="1:16" ht="96" customHeight="1" x14ac:dyDescent="0.2">
      <c r="A79" s="205">
        <f>A78+1</f>
        <v>5</v>
      </c>
      <c r="B79" s="195" t="s">
        <v>160</v>
      </c>
      <c r="C79" s="28" t="s">
        <v>124</v>
      </c>
      <c r="D79" s="93">
        <v>5691.0946199999998</v>
      </c>
      <c r="E79" s="93">
        <v>5691.0946199999998</v>
      </c>
      <c r="F79" s="93">
        <v>5680.0689499999999</v>
      </c>
      <c r="G79" s="37">
        <f>F79/E79*100</f>
        <v>99.806264510850824</v>
      </c>
      <c r="H79" s="215"/>
      <c r="I79" s="29"/>
      <c r="J79" s="29"/>
      <c r="K79" s="216"/>
      <c r="L79" s="29"/>
      <c r="M79" s="63"/>
      <c r="N79" s="29"/>
    </row>
    <row r="80" spans="1:16" ht="94.5" x14ac:dyDescent="0.2">
      <c r="A80" s="205">
        <f t="shared" ref="A80:A81" si="16">A79+1</f>
        <v>6</v>
      </c>
      <c r="B80" s="106" t="s">
        <v>265</v>
      </c>
      <c r="C80" s="28" t="s">
        <v>259</v>
      </c>
      <c r="D80" s="93">
        <v>8955.2999999999993</v>
      </c>
      <c r="E80" s="93">
        <v>0</v>
      </c>
      <c r="F80" s="93">
        <v>0</v>
      </c>
      <c r="G80" s="37">
        <v>0</v>
      </c>
      <c r="H80" s="215"/>
      <c r="I80" s="29"/>
      <c r="J80" s="29"/>
      <c r="K80" s="216"/>
      <c r="L80" s="29"/>
      <c r="M80" s="63"/>
      <c r="N80" s="29"/>
      <c r="O80" s="48">
        <f>77.4+61.4</f>
        <v>138.80000000000001</v>
      </c>
      <c r="P80" s="48" t="s">
        <v>269</v>
      </c>
    </row>
    <row r="81" spans="1:18" ht="94.5" x14ac:dyDescent="0.2">
      <c r="A81" s="205">
        <f t="shared" si="16"/>
        <v>7</v>
      </c>
      <c r="B81" s="106" t="s">
        <v>266</v>
      </c>
      <c r="C81" s="28" t="s">
        <v>259</v>
      </c>
      <c r="D81" s="93">
        <v>9457.52</v>
      </c>
      <c r="E81" s="93">
        <v>0</v>
      </c>
      <c r="F81" s="93">
        <v>0</v>
      </c>
      <c r="G81" s="37">
        <v>0</v>
      </c>
      <c r="H81" s="74"/>
      <c r="I81" s="23"/>
      <c r="J81" s="23"/>
      <c r="K81" s="185"/>
      <c r="L81" s="23"/>
      <c r="M81" s="217"/>
      <c r="N81" s="23"/>
      <c r="O81" s="48" t="s">
        <v>268</v>
      </c>
    </row>
    <row r="82" spans="1:18" s="225" customFormat="1" ht="51.75" customHeight="1" x14ac:dyDescent="0.2">
      <c r="A82" s="218">
        <v>8</v>
      </c>
      <c r="B82" s="219" t="s">
        <v>202</v>
      </c>
      <c r="C82" s="6" t="s">
        <v>18</v>
      </c>
      <c r="D82" s="220">
        <f>SUM(D84,D86,D88)</f>
        <v>22082.6</v>
      </c>
      <c r="E82" s="220">
        <f t="shared" ref="E82:F82" si="17">SUM(E84,E86,E88)</f>
        <v>0</v>
      </c>
      <c r="F82" s="220">
        <f t="shared" si="17"/>
        <v>0</v>
      </c>
      <c r="G82" s="37">
        <v>0</v>
      </c>
      <c r="H82" s="107"/>
      <c r="I82" s="221"/>
      <c r="J82" s="221"/>
      <c r="K82" s="221"/>
      <c r="L82" s="221"/>
      <c r="M82" s="222"/>
      <c r="N82" s="221"/>
      <c r="O82" s="223"/>
      <c r="P82" s="223"/>
      <c r="Q82" s="224"/>
      <c r="R82" s="224"/>
    </row>
    <row r="83" spans="1:18" s="225" customFormat="1" ht="48.75" customHeight="1" x14ac:dyDescent="0.2">
      <c r="A83" s="226"/>
      <c r="B83" s="219"/>
      <c r="C83" s="6" t="s">
        <v>11</v>
      </c>
      <c r="D83" s="220">
        <f>SUM(D85,D87,D89)</f>
        <v>15991</v>
      </c>
      <c r="E83" s="220">
        <f t="shared" ref="E83:F83" si="18">SUM(E85,E87,E89)</f>
        <v>0</v>
      </c>
      <c r="F83" s="220">
        <f t="shared" si="18"/>
        <v>0</v>
      </c>
      <c r="G83" s="37">
        <v>0</v>
      </c>
      <c r="H83" s="107"/>
      <c r="I83" s="221"/>
      <c r="J83" s="221"/>
      <c r="K83" s="221"/>
      <c r="L83" s="221"/>
      <c r="M83" s="222"/>
      <c r="N83" s="221"/>
      <c r="O83" s="223"/>
      <c r="P83" s="223"/>
      <c r="Q83" s="224"/>
      <c r="R83" s="224"/>
    </row>
    <row r="84" spans="1:18" ht="53.25" customHeight="1" x14ac:dyDescent="0.2">
      <c r="A84" s="227" t="s">
        <v>272</v>
      </c>
      <c r="B84" s="178" t="s">
        <v>127</v>
      </c>
      <c r="C84" s="5" t="s">
        <v>18</v>
      </c>
      <c r="D84" s="93">
        <v>7362.6</v>
      </c>
      <c r="E84" s="93">
        <v>0</v>
      </c>
      <c r="F84" s="93">
        <v>0</v>
      </c>
      <c r="G84" s="37">
        <v>0</v>
      </c>
      <c r="H84" s="124" t="s">
        <v>139</v>
      </c>
      <c r="I84" s="121">
        <v>36</v>
      </c>
      <c r="J84" s="121">
        <v>38</v>
      </c>
      <c r="K84" s="121">
        <v>39</v>
      </c>
      <c r="L84" s="121" t="s">
        <v>29</v>
      </c>
      <c r="M84" s="184" t="s">
        <v>29</v>
      </c>
      <c r="N84" s="121">
        <v>42</v>
      </c>
    </row>
    <row r="85" spans="1:18" ht="47.25" customHeight="1" x14ac:dyDescent="0.2">
      <c r="A85" s="228"/>
      <c r="B85" s="180"/>
      <c r="C85" s="5" t="s">
        <v>11</v>
      </c>
      <c r="D85" s="93">
        <v>5331.6</v>
      </c>
      <c r="E85" s="93">
        <v>0</v>
      </c>
      <c r="F85" s="93">
        <v>0</v>
      </c>
      <c r="G85" s="37">
        <v>0</v>
      </c>
      <c r="H85" s="134"/>
      <c r="I85" s="123"/>
      <c r="J85" s="123"/>
      <c r="K85" s="123"/>
      <c r="L85" s="123"/>
      <c r="M85" s="184"/>
      <c r="N85" s="123"/>
    </row>
    <row r="86" spans="1:18" ht="48" customHeight="1" x14ac:dyDescent="0.2">
      <c r="A86" s="227" t="s">
        <v>273</v>
      </c>
      <c r="B86" s="178" t="s">
        <v>128</v>
      </c>
      <c r="C86" s="5" t="s">
        <v>18</v>
      </c>
      <c r="D86" s="93">
        <v>7360</v>
      </c>
      <c r="E86" s="93">
        <v>0</v>
      </c>
      <c r="F86" s="93">
        <v>0</v>
      </c>
      <c r="G86" s="37">
        <v>0</v>
      </c>
      <c r="H86" s="124" t="s">
        <v>140</v>
      </c>
      <c r="I86" s="90">
        <v>16</v>
      </c>
      <c r="J86" s="90">
        <v>20</v>
      </c>
      <c r="K86" s="90">
        <v>2</v>
      </c>
      <c r="L86" s="90" t="s">
        <v>29</v>
      </c>
      <c r="M86" s="126" t="s">
        <v>29</v>
      </c>
      <c r="N86" s="61">
        <v>4</v>
      </c>
    </row>
    <row r="87" spans="1:18" ht="56.25" customHeight="1" x14ac:dyDescent="0.2">
      <c r="A87" s="228"/>
      <c r="B87" s="180"/>
      <c r="C87" s="5" t="s">
        <v>11</v>
      </c>
      <c r="D87" s="93">
        <v>5329.7</v>
      </c>
      <c r="E87" s="93">
        <v>0</v>
      </c>
      <c r="F87" s="93">
        <v>0</v>
      </c>
      <c r="G87" s="37">
        <v>0</v>
      </c>
      <c r="H87" s="125"/>
      <c r="I87" s="29"/>
      <c r="J87" s="29"/>
      <c r="K87" s="29"/>
      <c r="L87" s="29"/>
      <c r="M87" s="138"/>
      <c r="N87" s="62"/>
    </row>
    <row r="88" spans="1:18" ht="55.5" customHeight="1" x14ac:dyDescent="0.2">
      <c r="A88" s="227" t="s">
        <v>274</v>
      </c>
      <c r="B88" s="178" t="s">
        <v>129</v>
      </c>
      <c r="C88" s="5" t="s">
        <v>18</v>
      </c>
      <c r="D88" s="93">
        <v>7360</v>
      </c>
      <c r="E88" s="93">
        <v>0</v>
      </c>
      <c r="F88" s="93">
        <v>0</v>
      </c>
      <c r="G88" s="37">
        <v>0</v>
      </c>
      <c r="H88" s="29"/>
      <c r="I88" s="29"/>
      <c r="J88" s="29"/>
      <c r="K88" s="29"/>
      <c r="L88" s="29"/>
      <c r="M88" s="63"/>
      <c r="N88" s="62"/>
    </row>
    <row r="89" spans="1:18" ht="57.75" customHeight="1" x14ac:dyDescent="0.2">
      <c r="A89" s="228"/>
      <c r="B89" s="180"/>
      <c r="C89" s="5" t="s">
        <v>11</v>
      </c>
      <c r="D89" s="93">
        <v>5329.7</v>
      </c>
      <c r="E89" s="93">
        <v>0</v>
      </c>
      <c r="F89" s="93">
        <v>0</v>
      </c>
      <c r="G89" s="37">
        <v>0</v>
      </c>
      <c r="H89" s="29"/>
      <c r="I89" s="29"/>
      <c r="J89" s="29"/>
      <c r="K89" s="29"/>
      <c r="L89" s="29"/>
      <c r="M89" s="63"/>
      <c r="N89" s="29"/>
    </row>
    <row r="90" spans="1:18" ht="94.5" x14ac:dyDescent="0.2">
      <c r="A90" s="64" t="s">
        <v>192</v>
      </c>
      <c r="B90" s="106" t="s">
        <v>161</v>
      </c>
      <c r="C90" s="28" t="s">
        <v>124</v>
      </c>
      <c r="D90" s="56">
        <v>7775.6563500000002</v>
      </c>
      <c r="E90" s="56">
        <v>7775.6563500000002</v>
      </c>
      <c r="F90" s="229">
        <v>6415.5098500000004</v>
      </c>
      <c r="G90" s="37">
        <f t="shared" si="13"/>
        <v>82.507631011753759</v>
      </c>
      <c r="H90" s="29"/>
      <c r="I90" s="29"/>
      <c r="J90" s="29"/>
      <c r="K90" s="29"/>
      <c r="L90" s="29"/>
      <c r="M90" s="63"/>
      <c r="N90" s="29"/>
    </row>
    <row r="91" spans="1:18" ht="96.75" customHeight="1" x14ac:dyDescent="0.2">
      <c r="A91" s="64" t="s">
        <v>193</v>
      </c>
      <c r="B91" s="106" t="s">
        <v>162</v>
      </c>
      <c r="C91" s="28" t="s">
        <v>124</v>
      </c>
      <c r="D91" s="56">
        <v>687.55440999999996</v>
      </c>
      <c r="E91" s="56">
        <v>687.55440999999996</v>
      </c>
      <c r="F91" s="65">
        <v>525.89247999999998</v>
      </c>
      <c r="G91" s="37">
        <f t="shared" si="13"/>
        <v>76.4873982845954</v>
      </c>
      <c r="H91" s="29"/>
      <c r="I91" s="29"/>
      <c r="J91" s="29"/>
      <c r="K91" s="29"/>
      <c r="L91" s="29"/>
      <c r="M91" s="63"/>
      <c r="N91" s="29"/>
    </row>
    <row r="92" spans="1:18" ht="94.5" x14ac:dyDescent="0.2">
      <c r="A92" s="64" t="s">
        <v>194</v>
      </c>
      <c r="B92" s="110" t="s">
        <v>248</v>
      </c>
      <c r="C92" s="28" t="s">
        <v>259</v>
      </c>
      <c r="D92" s="93">
        <v>1600.51</v>
      </c>
      <c r="E92" s="93">
        <v>0</v>
      </c>
      <c r="F92" s="213">
        <v>0</v>
      </c>
      <c r="G92" s="37">
        <v>0</v>
      </c>
      <c r="H92" s="29"/>
      <c r="I92" s="29"/>
      <c r="J92" s="29"/>
      <c r="K92" s="29"/>
      <c r="L92" s="29"/>
      <c r="M92" s="63"/>
      <c r="N92" s="29"/>
    </row>
    <row r="93" spans="1:18" ht="94.5" x14ac:dyDescent="0.2">
      <c r="A93" s="64" t="s">
        <v>195</v>
      </c>
      <c r="B93" s="195" t="s">
        <v>249</v>
      </c>
      <c r="C93" s="28" t="s">
        <v>259</v>
      </c>
      <c r="D93" s="93">
        <v>1950.5</v>
      </c>
      <c r="E93" s="93">
        <v>0</v>
      </c>
      <c r="F93" s="213">
        <v>0</v>
      </c>
      <c r="G93" s="37">
        <v>0</v>
      </c>
      <c r="H93" s="29"/>
      <c r="I93" s="29"/>
      <c r="J93" s="29"/>
      <c r="K93" s="29"/>
      <c r="L93" s="29"/>
      <c r="M93" s="63"/>
      <c r="N93" s="29"/>
    </row>
    <row r="94" spans="1:18" ht="94.5" x14ac:dyDescent="0.2">
      <c r="A94" s="64" t="s">
        <v>275</v>
      </c>
      <c r="B94" s="195" t="s">
        <v>250</v>
      </c>
      <c r="C94" s="28" t="s">
        <v>259</v>
      </c>
      <c r="D94" s="93">
        <v>3063.55</v>
      </c>
      <c r="E94" s="93">
        <v>0</v>
      </c>
      <c r="F94" s="213">
        <v>0</v>
      </c>
      <c r="G94" s="37">
        <v>0</v>
      </c>
      <c r="H94" s="29"/>
      <c r="I94" s="29"/>
      <c r="J94" s="29"/>
      <c r="K94" s="29"/>
      <c r="L94" s="29"/>
      <c r="M94" s="63"/>
      <c r="N94" s="29"/>
    </row>
    <row r="95" spans="1:18" ht="94.5" x14ac:dyDescent="0.2">
      <c r="A95" s="64" t="s">
        <v>276</v>
      </c>
      <c r="B95" s="195" t="s">
        <v>251</v>
      </c>
      <c r="C95" s="28" t="s">
        <v>259</v>
      </c>
      <c r="D95" s="93">
        <v>1513.24</v>
      </c>
      <c r="E95" s="93">
        <v>0</v>
      </c>
      <c r="F95" s="213">
        <v>0</v>
      </c>
      <c r="G95" s="37">
        <v>0</v>
      </c>
      <c r="H95" s="29"/>
      <c r="I95" s="29"/>
      <c r="J95" s="29"/>
      <c r="K95" s="29"/>
      <c r="L95" s="29"/>
      <c r="M95" s="63"/>
      <c r="N95" s="29"/>
    </row>
    <row r="96" spans="1:18" ht="94.5" x14ac:dyDescent="0.2">
      <c r="A96" s="64" t="s">
        <v>277</v>
      </c>
      <c r="B96" s="195" t="s">
        <v>252</v>
      </c>
      <c r="C96" s="28" t="s">
        <v>259</v>
      </c>
      <c r="D96" s="93">
        <v>32.020000000000003</v>
      </c>
      <c r="E96" s="93">
        <v>0</v>
      </c>
      <c r="F96" s="213">
        <v>0</v>
      </c>
      <c r="G96" s="37">
        <v>0</v>
      </c>
      <c r="H96" s="29"/>
      <c r="I96" s="29"/>
      <c r="J96" s="29"/>
      <c r="K96" s="29"/>
      <c r="L96" s="29"/>
      <c r="M96" s="63"/>
      <c r="N96" s="29"/>
    </row>
    <row r="97" spans="1:18" ht="94.5" x14ac:dyDescent="0.2">
      <c r="A97" s="64" t="s">
        <v>278</v>
      </c>
      <c r="B97" s="195" t="s">
        <v>253</v>
      </c>
      <c r="C97" s="28" t="s">
        <v>259</v>
      </c>
      <c r="D97" s="93">
        <v>66.48</v>
      </c>
      <c r="E97" s="93">
        <v>0</v>
      </c>
      <c r="F97" s="213">
        <v>0</v>
      </c>
      <c r="G97" s="37">
        <v>0</v>
      </c>
      <c r="H97" s="29"/>
      <c r="I97" s="29"/>
      <c r="J97" s="29"/>
      <c r="K97" s="29"/>
      <c r="L97" s="29"/>
      <c r="M97" s="63"/>
      <c r="N97" s="29"/>
    </row>
    <row r="98" spans="1:18" ht="94.5" x14ac:dyDescent="0.2">
      <c r="A98" s="64" t="s">
        <v>279</v>
      </c>
      <c r="B98" s="195" t="s">
        <v>254</v>
      </c>
      <c r="C98" s="28" t="s">
        <v>259</v>
      </c>
      <c r="D98" s="93">
        <v>5026.55</v>
      </c>
      <c r="E98" s="93">
        <v>0</v>
      </c>
      <c r="F98" s="213">
        <v>0</v>
      </c>
      <c r="G98" s="37">
        <v>0</v>
      </c>
      <c r="H98" s="29"/>
      <c r="I98" s="29"/>
      <c r="J98" s="29"/>
      <c r="K98" s="29"/>
      <c r="L98" s="29"/>
      <c r="M98" s="63"/>
      <c r="N98" s="29"/>
    </row>
    <row r="99" spans="1:18" ht="94.5" x14ac:dyDescent="0.2">
      <c r="A99" s="64" t="s">
        <v>280</v>
      </c>
      <c r="B99" s="195" t="s">
        <v>255</v>
      </c>
      <c r="C99" s="28" t="s">
        <v>259</v>
      </c>
      <c r="D99" s="93">
        <v>2791.84</v>
      </c>
      <c r="E99" s="93">
        <v>0</v>
      </c>
      <c r="F99" s="213">
        <v>0</v>
      </c>
      <c r="G99" s="37">
        <v>0</v>
      </c>
      <c r="H99" s="29"/>
      <c r="I99" s="29"/>
      <c r="J99" s="29"/>
      <c r="K99" s="29"/>
      <c r="L99" s="29"/>
      <c r="M99" s="63"/>
      <c r="N99" s="29"/>
    </row>
    <row r="100" spans="1:18" ht="94.5" x14ac:dyDescent="0.2">
      <c r="A100" s="64" t="s">
        <v>281</v>
      </c>
      <c r="B100" s="195" t="s">
        <v>256</v>
      </c>
      <c r="C100" s="28" t="s">
        <v>259</v>
      </c>
      <c r="D100" s="93">
        <v>42.44</v>
      </c>
      <c r="E100" s="93">
        <v>0</v>
      </c>
      <c r="F100" s="213">
        <v>0</v>
      </c>
      <c r="G100" s="37">
        <v>0</v>
      </c>
      <c r="H100" s="29"/>
      <c r="I100" s="29"/>
      <c r="J100" s="29"/>
      <c r="K100" s="29"/>
      <c r="L100" s="29"/>
      <c r="M100" s="63"/>
      <c r="N100" s="29"/>
    </row>
    <row r="101" spans="1:18" ht="94.5" x14ac:dyDescent="0.2">
      <c r="A101" s="64" t="s">
        <v>282</v>
      </c>
      <c r="B101" s="195" t="s">
        <v>257</v>
      </c>
      <c r="C101" s="28" t="s">
        <v>259</v>
      </c>
      <c r="D101" s="93">
        <v>2043.96</v>
      </c>
      <c r="E101" s="93">
        <v>0</v>
      </c>
      <c r="F101" s="213">
        <v>0</v>
      </c>
      <c r="G101" s="37">
        <v>0</v>
      </c>
      <c r="H101" s="29"/>
      <c r="I101" s="29"/>
      <c r="J101" s="29"/>
      <c r="K101" s="29"/>
      <c r="L101" s="29"/>
      <c r="M101" s="63"/>
      <c r="N101" s="29"/>
    </row>
    <row r="102" spans="1:18" ht="94.5" x14ac:dyDescent="0.2">
      <c r="A102" s="64" t="s">
        <v>283</v>
      </c>
      <c r="B102" s="195" t="s">
        <v>258</v>
      </c>
      <c r="C102" s="28" t="s">
        <v>259</v>
      </c>
      <c r="D102" s="93">
        <v>2163.85</v>
      </c>
      <c r="E102" s="93">
        <v>0</v>
      </c>
      <c r="F102" s="213">
        <v>0</v>
      </c>
      <c r="G102" s="37">
        <v>0</v>
      </c>
      <c r="H102" s="29"/>
      <c r="I102" s="29"/>
      <c r="J102" s="29"/>
      <c r="K102" s="29"/>
      <c r="L102" s="29"/>
      <c r="M102" s="63"/>
      <c r="N102" s="29"/>
    </row>
    <row r="103" spans="1:18" ht="94.5" x14ac:dyDescent="0.2">
      <c r="A103" s="64" t="s">
        <v>284</v>
      </c>
      <c r="B103" s="195" t="s">
        <v>260</v>
      </c>
      <c r="C103" s="28" t="s">
        <v>259</v>
      </c>
      <c r="D103" s="93">
        <v>6958.04</v>
      </c>
      <c r="E103" s="93">
        <v>0</v>
      </c>
      <c r="F103" s="213">
        <v>0</v>
      </c>
      <c r="G103" s="37">
        <v>0</v>
      </c>
      <c r="H103" s="29"/>
      <c r="I103" s="29"/>
      <c r="J103" s="29"/>
      <c r="K103" s="29"/>
      <c r="L103" s="29"/>
      <c r="M103" s="63"/>
      <c r="N103" s="29"/>
    </row>
    <row r="104" spans="1:18" ht="94.5" x14ac:dyDescent="0.2">
      <c r="A104" s="64" t="s">
        <v>285</v>
      </c>
      <c r="B104" s="195" t="s">
        <v>261</v>
      </c>
      <c r="C104" s="28" t="s">
        <v>259</v>
      </c>
      <c r="D104" s="93">
        <v>8220.9699999999993</v>
      </c>
      <c r="E104" s="93">
        <v>0</v>
      </c>
      <c r="F104" s="213">
        <v>0</v>
      </c>
      <c r="G104" s="37">
        <v>0</v>
      </c>
      <c r="H104" s="23"/>
      <c r="I104" s="23"/>
      <c r="J104" s="23"/>
      <c r="K104" s="23"/>
      <c r="L104" s="23"/>
      <c r="M104" s="217"/>
      <c r="N104" s="23"/>
    </row>
    <row r="105" spans="1:18" ht="126" x14ac:dyDescent="0.2">
      <c r="A105" s="64" t="s">
        <v>286</v>
      </c>
      <c r="B105" s="195" t="s">
        <v>262</v>
      </c>
      <c r="C105" s="28" t="s">
        <v>259</v>
      </c>
      <c r="D105" s="93">
        <v>38859.75</v>
      </c>
      <c r="E105" s="93">
        <v>0</v>
      </c>
      <c r="F105" s="213">
        <v>0</v>
      </c>
      <c r="G105" s="37">
        <v>0</v>
      </c>
      <c r="H105" s="52" t="s">
        <v>141</v>
      </c>
      <c r="I105" s="66">
        <v>258643</v>
      </c>
      <c r="J105" s="66">
        <v>258643</v>
      </c>
      <c r="K105" s="66">
        <v>360143</v>
      </c>
      <c r="L105" s="67" t="s">
        <v>29</v>
      </c>
      <c r="M105" s="67" t="s">
        <v>29</v>
      </c>
      <c r="N105" s="230" t="s">
        <v>29</v>
      </c>
    </row>
    <row r="106" spans="1:18" ht="94.5" x14ac:dyDescent="0.2">
      <c r="A106" s="64" t="s">
        <v>287</v>
      </c>
      <c r="B106" s="195" t="s">
        <v>263</v>
      </c>
      <c r="C106" s="28" t="s">
        <v>259</v>
      </c>
      <c r="D106" s="93">
        <v>2974.27</v>
      </c>
      <c r="E106" s="93">
        <v>0</v>
      </c>
      <c r="F106" s="213">
        <v>0</v>
      </c>
      <c r="G106" s="37">
        <v>0</v>
      </c>
      <c r="H106" s="52" t="s">
        <v>264</v>
      </c>
      <c r="I106" s="89">
        <v>6.48</v>
      </c>
      <c r="J106" s="89">
        <v>6.48</v>
      </c>
      <c r="K106" s="89">
        <f>0.795+2</f>
        <v>2.7949999999999999</v>
      </c>
      <c r="L106" s="67" t="s">
        <v>29</v>
      </c>
      <c r="M106" s="67" t="s">
        <v>29</v>
      </c>
      <c r="N106" s="230" t="s">
        <v>29</v>
      </c>
    </row>
    <row r="107" spans="1:18" s="30" customFormat="1" ht="94.5" customHeight="1" x14ac:dyDescent="0.2">
      <c r="A107" s="64" t="s">
        <v>288</v>
      </c>
      <c r="B107" s="231" t="s">
        <v>54</v>
      </c>
      <c r="C107" s="28" t="s">
        <v>124</v>
      </c>
      <c r="D107" s="93">
        <v>113855.89846</v>
      </c>
      <c r="E107" s="93">
        <v>113855.89846</v>
      </c>
      <c r="F107" s="93">
        <v>0</v>
      </c>
      <c r="G107" s="232">
        <f t="shared" si="13"/>
        <v>0</v>
      </c>
      <c r="H107" s="97" t="s">
        <v>270</v>
      </c>
      <c r="I107" s="84">
        <v>136.1</v>
      </c>
      <c r="J107" s="84">
        <v>136.1</v>
      </c>
      <c r="K107" s="98">
        <v>60</v>
      </c>
      <c r="L107" s="187" t="s">
        <v>29</v>
      </c>
      <c r="M107" s="126" t="s">
        <v>29</v>
      </c>
      <c r="N107" s="182" t="s">
        <v>29</v>
      </c>
      <c r="O107" s="188"/>
      <c r="P107" s="50"/>
      <c r="Q107" s="46"/>
      <c r="R107" s="46"/>
    </row>
    <row r="108" spans="1:18" s="31" customFormat="1" ht="63" x14ac:dyDescent="0.2">
      <c r="A108" s="64" t="s">
        <v>289</v>
      </c>
      <c r="B108" s="105" t="s">
        <v>190</v>
      </c>
      <c r="C108" s="28" t="s">
        <v>246</v>
      </c>
      <c r="D108" s="93">
        <v>8000</v>
      </c>
      <c r="E108" s="93">
        <v>8000</v>
      </c>
      <c r="F108" s="93">
        <v>0</v>
      </c>
      <c r="G108" s="233">
        <f>F108/E108*100</f>
        <v>0</v>
      </c>
      <c r="H108" s="108"/>
      <c r="I108" s="234"/>
      <c r="J108" s="119"/>
      <c r="K108" s="120"/>
      <c r="L108" s="235"/>
      <c r="M108" s="138"/>
      <c r="N108" s="236"/>
      <c r="O108" s="51"/>
      <c r="P108" s="51"/>
      <c r="Q108" s="47"/>
      <c r="R108" s="47"/>
    </row>
    <row r="109" spans="1:18" s="31" customFormat="1" ht="113.25" customHeight="1" x14ac:dyDescent="0.2">
      <c r="A109" s="64" t="s">
        <v>290</v>
      </c>
      <c r="B109" s="105" t="s">
        <v>163</v>
      </c>
      <c r="C109" s="28" t="s">
        <v>247</v>
      </c>
      <c r="D109" s="93">
        <f>7302.01446+30451</f>
        <v>37753.014459999999</v>
      </c>
      <c r="E109" s="93">
        <f>7302.01446</f>
        <v>7302.0144600000003</v>
      </c>
      <c r="F109" s="213">
        <v>2190.6043399999999</v>
      </c>
      <c r="G109" s="233">
        <f t="shared" ref="G109" si="19">F109/E109*100</f>
        <v>30.000000027389699</v>
      </c>
      <c r="H109" s="189"/>
      <c r="I109" s="189"/>
      <c r="J109" s="189"/>
      <c r="K109" s="189"/>
      <c r="M109" s="189"/>
      <c r="N109" s="189"/>
      <c r="O109" s="51"/>
      <c r="P109" s="51"/>
      <c r="Q109" s="47"/>
      <c r="R109" s="47"/>
    </row>
    <row r="110" spans="1:18" s="31" customFormat="1" ht="47.25" customHeight="1" x14ac:dyDescent="0.2">
      <c r="A110" s="64" t="s">
        <v>291</v>
      </c>
      <c r="B110" s="105" t="s">
        <v>271</v>
      </c>
      <c r="C110" s="28" t="s">
        <v>259</v>
      </c>
      <c r="D110" s="93">
        <v>4450</v>
      </c>
      <c r="E110" s="93">
        <v>0</v>
      </c>
      <c r="F110" s="213">
        <v>0</v>
      </c>
      <c r="G110" s="233">
        <v>0</v>
      </c>
      <c r="H110" s="186"/>
      <c r="I110" s="186"/>
      <c r="J110" s="186"/>
      <c r="K110" s="186"/>
      <c r="L110" s="237"/>
      <c r="M110" s="186"/>
      <c r="N110" s="186"/>
      <c r="O110" s="51"/>
      <c r="P110" s="51"/>
      <c r="Q110" s="47"/>
      <c r="R110" s="47"/>
    </row>
    <row r="111" spans="1:18" s="31" customFormat="1" ht="94.5" x14ac:dyDescent="0.2">
      <c r="A111" s="64" t="s">
        <v>292</v>
      </c>
      <c r="B111" s="105" t="s">
        <v>130</v>
      </c>
      <c r="C111" s="28" t="s">
        <v>131</v>
      </c>
      <c r="D111" s="93">
        <v>6774.66</v>
      </c>
      <c r="E111" s="93">
        <v>6774.66</v>
      </c>
      <c r="F111" s="213">
        <v>0</v>
      </c>
      <c r="G111" s="96">
        <v>0</v>
      </c>
      <c r="H111" s="29" t="s">
        <v>142</v>
      </c>
      <c r="I111" s="120">
        <v>303.2</v>
      </c>
      <c r="J111" s="119">
        <v>303.2</v>
      </c>
      <c r="K111" s="234">
        <v>141.08000000000001</v>
      </c>
      <c r="L111" s="119" t="s">
        <v>29</v>
      </c>
      <c r="M111" s="87" t="s">
        <v>29</v>
      </c>
      <c r="N111" s="120" t="s">
        <v>29</v>
      </c>
      <c r="O111" s="51"/>
      <c r="P111" s="51"/>
      <c r="Q111" s="47"/>
      <c r="R111" s="47"/>
    </row>
    <row r="112" spans="1:18" ht="57" customHeight="1" x14ac:dyDescent="0.2">
      <c r="A112" s="104"/>
      <c r="B112" s="9" t="s">
        <v>298</v>
      </c>
      <c r="C112" s="6" t="s">
        <v>11</v>
      </c>
      <c r="D112" s="59">
        <f>SUM(D113:D120)</f>
        <v>43114.559999999998</v>
      </c>
      <c r="E112" s="59">
        <f>SUM(E113:E120)</f>
        <v>35913.370000000003</v>
      </c>
      <c r="F112" s="59">
        <f>SUM(F113:F120)</f>
        <v>20872.008809999999</v>
      </c>
      <c r="G112" s="12">
        <f t="shared" ref="G112:G139" si="20">F112/E112*100</f>
        <v>58.117655931481785</v>
      </c>
      <c r="H112" s="111"/>
      <c r="I112" s="89"/>
      <c r="J112" s="89"/>
      <c r="K112" s="89"/>
      <c r="L112" s="89"/>
      <c r="M112" s="89"/>
      <c r="N112" s="89"/>
    </row>
    <row r="113" spans="1:14" ht="112.5" customHeight="1" x14ac:dyDescent="0.2">
      <c r="A113" s="109">
        <f>A112+1</f>
        <v>1</v>
      </c>
      <c r="B113" s="124" t="s">
        <v>31</v>
      </c>
      <c r="C113" s="159" t="s">
        <v>103</v>
      </c>
      <c r="D113" s="156">
        <v>17266.5</v>
      </c>
      <c r="E113" s="156">
        <v>10469.9</v>
      </c>
      <c r="F113" s="156">
        <v>8348.7999999999993</v>
      </c>
      <c r="G113" s="131">
        <f t="shared" si="20"/>
        <v>79.74097173802997</v>
      </c>
      <c r="H113" s="111" t="s">
        <v>143</v>
      </c>
      <c r="I113" s="89">
        <v>2.5299999999999998</v>
      </c>
      <c r="J113" s="89">
        <v>2.5299999999999998</v>
      </c>
      <c r="K113" s="89">
        <v>2.5299999999999998</v>
      </c>
      <c r="L113" s="90" t="s">
        <v>29</v>
      </c>
      <c r="M113" s="85" t="s">
        <v>29</v>
      </c>
      <c r="N113" s="89">
        <v>2.5299999999999998</v>
      </c>
    </row>
    <row r="114" spans="1:14" ht="79.5" customHeight="1" x14ac:dyDescent="0.2">
      <c r="A114" s="68"/>
      <c r="B114" s="134"/>
      <c r="C114" s="160"/>
      <c r="D114" s="158"/>
      <c r="E114" s="158"/>
      <c r="F114" s="158"/>
      <c r="G114" s="133"/>
      <c r="H114" s="111" t="s">
        <v>144</v>
      </c>
      <c r="I114" s="89">
        <v>1.99</v>
      </c>
      <c r="J114" s="89">
        <v>1.99</v>
      </c>
      <c r="K114" s="89">
        <v>1.99</v>
      </c>
      <c r="L114" s="90" t="s">
        <v>29</v>
      </c>
      <c r="M114" s="85" t="s">
        <v>29</v>
      </c>
      <c r="N114" s="89">
        <v>1.99</v>
      </c>
    </row>
    <row r="115" spans="1:14" ht="51" customHeight="1" x14ac:dyDescent="0.2">
      <c r="A115" s="175">
        <v>2</v>
      </c>
      <c r="B115" s="178" t="s">
        <v>304</v>
      </c>
      <c r="C115" s="159" t="s">
        <v>103</v>
      </c>
      <c r="D115" s="156">
        <f>21583.1-51.64</f>
        <v>21531.46</v>
      </c>
      <c r="E115" s="156">
        <f>13087.3+8738.67</f>
        <v>21825.97</v>
      </c>
      <c r="F115" s="156">
        <v>10436.008809999999</v>
      </c>
      <c r="G115" s="131">
        <f t="shared" si="20"/>
        <v>47.814639211911306</v>
      </c>
      <c r="H115" s="22" t="s">
        <v>95</v>
      </c>
      <c r="I115" s="86">
        <v>640</v>
      </c>
      <c r="J115" s="86">
        <v>640</v>
      </c>
      <c r="K115" s="90">
        <v>650</v>
      </c>
      <c r="L115" s="86">
        <v>343</v>
      </c>
      <c r="M115" s="85">
        <f t="shared" ref="M115" si="21">L115/K115*100</f>
        <v>52.769230769230766</v>
      </c>
      <c r="N115" s="90">
        <v>660</v>
      </c>
    </row>
    <row r="116" spans="1:14" ht="47.25" customHeight="1" x14ac:dyDescent="0.2">
      <c r="A116" s="176"/>
      <c r="B116" s="179"/>
      <c r="C116" s="173"/>
      <c r="D116" s="157"/>
      <c r="E116" s="157"/>
      <c r="F116" s="157"/>
      <c r="G116" s="132"/>
      <c r="H116" s="22" t="s">
        <v>145</v>
      </c>
      <c r="I116" s="86">
        <v>1</v>
      </c>
      <c r="J116" s="86">
        <v>1</v>
      </c>
      <c r="K116" s="90">
        <v>1</v>
      </c>
      <c r="L116" s="86" t="s">
        <v>29</v>
      </c>
      <c r="M116" s="86" t="s">
        <v>29</v>
      </c>
      <c r="N116" s="90">
        <v>1</v>
      </c>
    </row>
    <row r="117" spans="1:14" ht="79.5" customHeight="1" x14ac:dyDescent="0.2">
      <c r="A117" s="176"/>
      <c r="B117" s="179"/>
      <c r="C117" s="173"/>
      <c r="D117" s="157"/>
      <c r="E117" s="157"/>
      <c r="F117" s="157"/>
      <c r="G117" s="132"/>
      <c r="H117" s="22" t="s">
        <v>146</v>
      </c>
      <c r="I117" s="86">
        <v>1</v>
      </c>
      <c r="J117" s="86">
        <v>1</v>
      </c>
      <c r="K117" s="90">
        <v>1</v>
      </c>
      <c r="L117" s="86" t="s">
        <v>29</v>
      </c>
      <c r="M117" s="86" t="s">
        <v>29</v>
      </c>
      <c r="N117" s="90">
        <v>1</v>
      </c>
    </row>
    <row r="118" spans="1:14" ht="54" customHeight="1" x14ac:dyDescent="0.2">
      <c r="A118" s="177"/>
      <c r="B118" s="180"/>
      <c r="C118" s="160"/>
      <c r="D118" s="158"/>
      <c r="E118" s="158"/>
      <c r="F118" s="158"/>
      <c r="G118" s="133"/>
      <c r="H118" s="22" t="s">
        <v>147</v>
      </c>
      <c r="I118" s="86">
        <v>1</v>
      </c>
      <c r="J118" s="86">
        <v>1</v>
      </c>
      <c r="K118" s="90">
        <v>1</v>
      </c>
      <c r="L118" s="86" t="s">
        <v>29</v>
      </c>
      <c r="M118" s="86" t="s">
        <v>29</v>
      </c>
      <c r="N118" s="90">
        <v>1</v>
      </c>
    </row>
    <row r="119" spans="1:14" ht="48.75" customHeight="1" x14ac:dyDescent="0.2">
      <c r="A119" s="109">
        <v>3</v>
      </c>
      <c r="B119" s="178" t="s">
        <v>20</v>
      </c>
      <c r="C119" s="159" t="s">
        <v>103</v>
      </c>
      <c r="D119" s="156">
        <v>4316.6000000000004</v>
      </c>
      <c r="E119" s="156">
        <f>2617.5+1000</f>
        <v>3617.5</v>
      </c>
      <c r="F119" s="156">
        <v>2087.1999999999998</v>
      </c>
      <c r="G119" s="131">
        <f t="shared" si="20"/>
        <v>57.697304768486525</v>
      </c>
      <c r="H119" s="111" t="s">
        <v>196</v>
      </c>
      <c r="I119" s="89">
        <v>2</v>
      </c>
      <c r="J119" s="89">
        <v>2</v>
      </c>
      <c r="K119" s="89">
        <v>2</v>
      </c>
      <c r="L119" s="85">
        <v>2</v>
      </c>
      <c r="M119" s="85">
        <f t="shared" ref="M119:M120" si="22">L119/K119*100</f>
        <v>100</v>
      </c>
      <c r="N119" s="89">
        <v>3</v>
      </c>
    </row>
    <row r="120" spans="1:14" ht="65.25" customHeight="1" x14ac:dyDescent="0.2">
      <c r="A120" s="69"/>
      <c r="B120" s="180"/>
      <c r="C120" s="160"/>
      <c r="D120" s="158"/>
      <c r="E120" s="158"/>
      <c r="F120" s="158"/>
      <c r="G120" s="133"/>
      <c r="H120" s="111" t="s">
        <v>148</v>
      </c>
      <c r="I120" s="66">
        <v>19000</v>
      </c>
      <c r="J120" s="66">
        <v>19000</v>
      </c>
      <c r="K120" s="66">
        <v>20000</v>
      </c>
      <c r="L120" s="66">
        <v>9085</v>
      </c>
      <c r="M120" s="85">
        <f t="shared" si="22"/>
        <v>45.424999999999997</v>
      </c>
      <c r="N120" s="66">
        <v>21000</v>
      </c>
    </row>
    <row r="121" spans="1:14" ht="33" customHeight="1" x14ac:dyDescent="0.2">
      <c r="A121" s="174"/>
      <c r="B121" s="152" t="s">
        <v>21</v>
      </c>
      <c r="C121" s="6" t="s">
        <v>19</v>
      </c>
      <c r="D121" s="59">
        <f>D122+D123</f>
        <v>62795.44</v>
      </c>
      <c r="E121" s="59">
        <f>E122+E123</f>
        <v>45353.72</v>
      </c>
      <c r="F121" s="59">
        <f>F122+F123</f>
        <v>43862.520000000004</v>
      </c>
      <c r="G121" s="12">
        <f t="shared" si="20"/>
        <v>96.712066838177776</v>
      </c>
      <c r="H121" s="111"/>
      <c r="I121" s="89"/>
      <c r="J121" s="89"/>
      <c r="K121" s="89"/>
      <c r="L121" s="89"/>
      <c r="M121" s="89"/>
      <c r="N121" s="89"/>
    </row>
    <row r="122" spans="1:14" ht="56.25" customHeight="1" x14ac:dyDescent="0.2">
      <c r="A122" s="174"/>
      <c r="B122" s="152"/>
      <c r="C122" s="6" t="s">
        <v>18</v>
      </c>
      <c r="D122" s="59">
        <f>D127+D128</f>
        <v>19540.7</v>
      </c>
      <c r="E122" s="59">
        <f>E127+E128</f>
        <v>13385.1</v>
      </c>
      <c r="F122" s="59">
        <f>F127+F128</f>
        <v>13385.1</v>
      </c>
      <c r="G122" s="12">
        <f t="shared" si="20"/>
        <v>100</v>
      </c>
      <c r="H122" s="111"/>
      <c r="I122" s="89"/>
      <c r="J122" s="89"/>
      <c r="K122" s="89"/>
      <c r="L122" s="89"/>
      <c r="M122" s="89"/>
      <c r="N122" s="89"/>
    </row>
    <row r="123" spans="1:14" ht="50.25" customHeight="1" x14ac:dyDescent="0.2">
      <c r="A123" s="174"/>
      <c r="B123" s="152"/>
      <c r="C123" s="6" t="s">
        <v>11</v>
      </c>
      <c r="D123" s="59">
        <f>D124+D125+D126</f>
        <v>43254.74</v>
      </c>
      <c r="E123" s="59">
        <f>E124+E125+E126</f>
        <v>31968.62</v>
      </c>
      <c r="F123" s="59">
        <f>F124+F125+F126</f>
        <v>30477.420000000002</v>
      </c>
      <c r="G123" s="12">
        <f t="shared" si="20"/>
        <v>95.335425801927016</v>
      </c>
      <c r="H123" s="111"/>
      <c r="I123" s="89"/>
      <c r="J123" s="89"/>
      <c r="K123" s="89"/>
      <c r="L123" s="89"/>
      <c r="M123" s="89"/>
      <c r="N123" s="89"/>
    </row>
    <row r="124" spans="1:14" ht="130.5" customHeight="1" x14ac:dyDescent="0.2">
      <c r="A124" s="36">
        <f>A123+1</f>
        <v>1</v>
      </c>
      <c r="B124" s="115" t="s">
        <v>104</v>
      </c>
      <c r="C124" s="5" t="s">
        <v>11</v>
      </c>
      <c r="D124" s="88">
        <v>6067</v>
      </c>
      <c r="E124" s="88">
        <f>4636+1000</f>
        <v>5636</v>
      </c>
      <c r="F124" s="88">
        <f>4333.9+1000</f>
        <v>5333.9</v>
      </c>
      <c r="G124" s="37">
        <f t="shared" si="20"/>
        <v>94.639815471965932</v>
      </c>
      <c r="H124" s="111" t="s">
        <v>149</v>
      </c>
      <c r="I124" s="89">
        <v>30</v>
      </c>
      <c r="J124" s="89">
        <v>33</v>
      </c>
      <c r="K124" s="89">
        <v>31</v>
      </c>
      <c r="L124" s="89" t="s">
        <v>29</v>
      </c>
      <c r="M124" s="85" t="s">
        <v>29</v>
      </c>
      <c r="N124" s="89">
        <v>31</v>
      </c>
    </row>
    <row r="125" spans="1:14" ht="70.5" customHeight="1" x14ac:dyDescent="0.2">
      <c r="A125" s="181">
        <f>A124+1</f>
        <v>2</v>
      </c>
      <c r="B125" s="153" t="s">
        <v>115</v>
      </c>
      <c r="C125" s="5" t="s">
        <v>11</v>
      </c>
      <c r="D125" s="88">
        <f>24267.9-845.56</f>
        <v>23422.34</v>
      </c>
      <c r="E125" s="88">
        <f>18544.1+1971.23</f>
        <v>20515.329999999998</v>
      </c>
      <c r="F125" s="88">
        <f>17335.8+1991.42</f>
        <v>19327.22</v>
      </c>
      <c r="G125" s="37">
        <f t="shared" si="20"/>
        <v>94.208672246559061</v>
      </c>
      <c r="H125" s="166" t="s">
        <v>150</v>
      </c>
      <c r="I125" s="135">
        <v>90</v>
      </c>
      <c r="J125" s="121">
        <v>98</v>
      </c>
      <c r="K125" s="135">
        <v>93</v>
      </c>
      <c r="L125" s="121" t="s">
        <v>29</v>
      </c>
      <c r="M125" s="126" t="s">
        <v>29</v>
      </c>
      <c r="N125" s="135">
        <v>91</v>
      </c>
    </row>
    <row r="126" spans="1:14" ht="59.25" customHeight="1" x14ac:dyDescent="0.2">
      <c r="A126" s="181"/>
      <c r="B126" s="153"/>
      <c r="C126" s="5" t="s">
        <v>11</v>
      </c>
      <c r="D126" s="88">
        <v>13765.4</v>
      </c>
      <c r="E126" s="88">
        <v>5817.29</v>
      </c>
      <c r="F126" s="88">
        <v>5816.3</v>
      </c>
      <c r="G126" s="37">
        <f t="shared" si="20"/>
        <v>99.98298176642389</v>
      </c>
      <c r="H126" s="166"/>
      <c r="I126" s="135"/>
      <c r="J126" s="123"/>
      <c r="K126" s="135"/>
      <c r="L126" s="123"/>
      <c r="M126" s="127"/>
      <c r="N126" s="135"/>
    </row>
    <row r="127" spans="1:14" ht="96.75" customHeight="1" x14ac:dyDescent="0.2">
      <c r="A127" s="103">
        <f>A125+1</f>
        <v>3</v>
      </c>
      <c r="B127" s="115" t="s">
        <v>113</v>
      </c>
      <c r="C127" s="5" t="s">
        <v>18</v>
      </c>
      <c r="D127" s="88">
        <v>19226.7</v>
      </c>
      <c r="E127" s="88">
        <v>13290.9</v>
      </c>
      <c r="F127" s="88">
        <v>13290.9</v>
      </c>
      <c r="G127" s="37">
        <f t="shared" si="20"/>
        <v>100</v>
      </c>
      <c r="H127" s="52" t="s">
        <v>151</v>
      </c>
      <c r="I127" s="89">
        <v>100</v>
      </c>
      <c r="J127" s="89">
        <v>100</v>
      </c>
      <c r="K127" s="89">
        <v>100</v>
      </c>
      <c r="L127" s="89" t="s">
        <v>29</v>
      </c>
      <c r="M127" s="89" t="s">
        <v>29</v>
      </c>
      <c r="N127" s="89">
        <v>100</v>
      </c>
    </row>
    <row r="128" spans="1:14" ht="51.75" customHeight="1" x14ac:dyDescent="0.2">
      <c r="A128" s="103">
        <f>A127+1</f>
        <v>4</v>
      </c>
      <c r="B128" s="115" t="s">
        <v>114</v>
      </c>
      <c r="C128" s="5" t="s">
        <v>18</v>
      </c>
      <c r="D128" s="88">
        <v>314</v>
      </c>
      <c r="E128" s="88">
        <v>94.2</v>
      </c>
      <c r="F128" s="88">
        <v>94.2</v>
      </c>
      <c r="G128" s="37">
        <v>0</v>
      </c>
      <c r="H128" s="52" t="s">
        <v>152</v>
      </c>
      <c r="I128" s="89">
        <v>878</v>
      </c>
      <c r="J128" s="89">
        <v>900</v>
      </c>
      <c r="K128" s="89">
        <v>878</v>
      </c>
      <c r="L128" s="89" t="s">
        <v>29</v>
      </c>
      <c r="M128" s="85" t="s">
        <v>29</v>
      </c>
      <c r="N128" s="89">
        <v>878</v>
      </c>
    </row>
    <row r="129" spans="1:14" ht="73.5" customHeight="1" x14ac:dyDescent="0.2">
      <c r="A129" s="104"/>
      <c r="B129" s="9" t="s">
        <v>22</v>
      </c>
      <c r="C129" s="6" t="s">
        <v>11</v>
      </c>
      <c r="D129" s="58">
        <f>SUM(D131:D162)</f>
        <v>242247.264</v>
      </c>
      <c r="E129" s="58">
        <f t="shared" ref="E129:F129" si="23">SUM(E131:E162)</f>
        <v>206219.08089792001</v>
      </c>
      <c r="F129" s="58">
        <f t="shared" si="23"/>
        <v>164888.47270435886</v>
      </c>
      <c r="G129" s="15">
        <f t="shared" si="20"/>
        <v>79.957912714187628</v>
      </c>
      <c r="H129" s="111"/>
      <c r="I129" s="89"/>
      <c r="J129" s="89"/>
      <c r="K129" s="89"/>
      <c r="L129" s="89"/>
      <c r="M129" s="100"/>
      <c r="N129" s="89"/>
    </row>
    <row r="130" spans="1:14" ht="35.25" customHeight="1" x14ac:dyDescent="0.2">
      <c r="A130" s="39"/>
      <c r="B130" s="40"/>
      <c r="C130" s="70" t="s">
        <v>58</v>
      </c>
      <c r="D130" s="58">
        <f>SUM(D163)</f>
        <v>274544.90000000002</v>
      </c>
      <c r="E130" s="58">
        <f t="shared" ref="E130:F130" si="24">SUM(E163)</f>
        <v>139862.35999999999</v>
      </c>
      <c r="F130" s="58">
        <f t="shared" si="24"/>
        <v>139862.35999999999</v>
      </c>
      <c r="G130" s="15">
        <f t="shared" si="20"/>
        <v>100</v>
      </c>
      <c r="H130" s="111"/>
      <c r="I130" s="89"/>
      <c r="J130" s="89"/>
      <c r="K130" s="89"/>
      <c r="L130" s="89"/>
      <c r="M130" s="100"/>
      <c r="N130" s="89"/>
    </row>
    <row r="131" spans="1:14" ht="114" customHeight="1" x14ac:dyDescent="0.2">
      <c r="A131" s="150">
        <v>1</v>
      </c>
      <c r="B131" s="124" t="s">
        <v>37</v>
      </c>
      <c r="C131" s="159" t="s">
        <v>11</v>
      </c>
      <c r="D131" s="162">
        <v>9314.8760000000002</v>
      </c>
      <c r="E131" s="156">
        <f>D131*85.128/100</f>
        <v>7929.5676412800003</v>
      </c>
      <c r="F131" s="156">
        <f>E131*79.958/100</f>
        <v>6340.3236946146617</v>
      </c>
      <c r="G131" s="154">
        <f t="shared" si="20"/>
        <v>79.957999999999984</v>
      </c>
      <c r="H131" s="111" t="s">
        <v>98</v>
      </c>
      <c r="I131" s="89">
        <v>960</v>
      </c>
      <c r="J131" s="89">
        <v>1078</v>
      </c>
      <c r="K131" s="89">
        <v>980</v>
      </c>
      <c r="L131" s="89">
        <v>963</v>
      </c>
      <c r="M131" s="57">
        <f>L131/K131*100</f>
        <v>98.265306122448976</v>
      </c>
      <c r="N131" s="89">
        <v>1000</v>
      </c>
    </row>
    <row r="132" spans="1:14" ht="229.5" customHeight="1" x14ac:dyDescent="0.2">
      <c r="A132" s="151"/>
      <c r="B132" s="134"/>
      <c r="C132" s="160"/>
      <c r="D132" s="162"/>
      <c r="E132" s="158"/>
      <c r="F132" s="158"/>
      <c r="G132" s="155" t="e">
        <f t="shared" si="20"/>
        <v>#DIV/0!</v>
      </c>
      <c r="H132" s="111" t="s">
        <v>96</v>
      </c>
      <c r="I132" s="89">
        <v>100</v>
      </c>
      <c r="J132" s="89">
        <v>100</v>
      </c>
      <c r="K132" s="89">
        <v>100</v>
      </c>
      <c r="L132" s="89">
        <v>100</v>
      </c>
      <c r="M132" s="89">
        <f>L132/K132*100</f>
        <v>100</v>
      </c>
      <c r="N132" s="89">
        <v>100</v>
      </c>
    </row>
    <row r="133" spans="1:14" ht="118.5" customHeight="1" x14ac:dyDescent="0.2">
      <c r="A133" s="150">
        <v>2</v>
      </c>
      <c r="B133" s="124" t="s">
        <v>38</v>
      </c>
      <c r="C133" s="159" t="s">
        <v>11</v>
      </c>
      <c r="D133" s="162">
        <v>9314.8760000000002</v>
      </c>
      <c r="E133" s="156">
        <f>D133*85.128/100</f>
        <v>7929.5676412800003</v>
      </c>
      <c r="F133" s="156">
        <f>E133*79.958/100</f>
        <v>6340.3236946146617</v>
      </c>
      <c r="G133" s="154">
        <f t="shared" si="20"/>
        <v>79.957999999999984</v>
      </c>
      <c r="H133" s="111" t="s">
        <v>86</v>
      </c>
      <c r="I133" s="89">
        <v>59.8</v>
      </c>
      <c r="J133" s="89">
        <v>59.8</v>
      </c>
      <c r="K133" s="89">
        <v>60</v>
      </c>
      <c r="L133" s="89" t="s">
        <v>29</v>
      </c>
      <c r="M133" s="57" t="s">
        <v>29</v>
      </c>
      <c r="N133" s="89">
        <v>60.2</v>
      </c>
    </row>
    <row r="134" spans="1:14" ht="104.25" customHeight="1" x14ac:dyDescent="0.2">
      <c r="A134" s="161"/>
      <c r="B134" s="125"/>
      <c r="C134" s="173"/>
      <c r="D134" s="162"/>
      <c r="E134" s="157"/>
      <c r="F134" s="157"/>
      <c r="G134" s="163" t="e">
        <f t="shared" si="20"/>
        <v>#DIV/0!</v>
      </c>
      <c r="H134" s="111" t="s">
        <v>87</v>
      </c>
      <c r="I134" s="89">
        <v>16</v>
      </c>
      <c r="J134" s="89">
        <v>7.6</v>
      </c>
      <c r="K134" s="89">
        <v>7.5</v>
      </c>
      <c r="L134" s="89" t="s">
        <v>29</v>
      </c>
      <c r="M134" s="57" t="s">
        <v>29</v>
      </c>
      <c r="N134" s="89">
        <v>14</v>
      </c>
    </row>
    <row r="135" spans="1:14" ht="73.5" customHeight="1" x14ac:dyDescent="0.2">
      <c r="A135" s="161"/>
      <c r="B135" s="125"/>
      <c r="C135" s="173"/>
      <c r="D135" s="162"/>
      <c r="E135" s="157">
        <f t="shared" ref="E135" si="25">D135*29.89/100</f>
        <v>0</v>
      </c>
      <c r="F135" s="157">
        <f t="shared" ref="F135" si="26">E135*66.92/100</f>
        <v>0</v>
      </c>
      <c r="G135" s="163" t="e">
        <f t="shared" si="20"/>
        <v>#DIV/0!</v>
      </c>
      <c r="H135" s="111" t="s">
        <v>88</v>
      </c>
      <c r="I135" s="89">
        <v>11.8</v>
      </c>
      <c r="J135" s="89">
        <v>11.8</v>
      </c>
      <c r="K135" s="89">
        <v>11.75</v>
      </c>
      <c r="L135" s="89" t="s">
        <v>29</v>
      </c>
      <c r="M135" s="57" t="s">
        <v>29</v>
      </c>
      <c r="N135" s="89">
        <v>11.6</v>
      </c>
    </row>
    <row r="136" spans="1:14" ht="49.5" customHeight="1" x14ac:dyDescent="0.2">
      <c r="A136" s="151"/>
      <c r="B136" s="134"/>
      <c r="C136" s="160"/>
      <c r="D136" s="162"/>
      <c r="E136" s="158"/>
      <c r="F136" s="158"/>
      <c r="G136" s="155" t="e">
        <f t="shared" si="20"/>
        <v>#DIV/0!</v>
      </c>
      <c r="H136" s="111" t="s">
        <v>89</v>
      </c>
      <c r="I136" s="89">
        <v>43</v>
      </c>
      <c r="J136" s="89">
        <v>43</v>
      </c>
      <c r="K136" s="89">
        <v>44</v>
      </c>
      <c r="L136" s="89" t="s">
        <v>29</v>
      </c>
      <c r="M136" s="57" t="s">
        <v>29</v>
      </c>
      <c r="N136" s="89">
        <v>44</v>
      </c>
    </row>
    <row r="137" spans="1:14" ht="98.25" customHeight="1" x14ac:dyDescent="0.2">
      <c r="A137" s="150">
        <v>3</v>
      </c>
      <c r="B137" s="170" t="s">
        <v>77</v>
      </c>
      <c r="C137" s="159" t="s">
        <v>11</v>
      </c>
      <c r="D137" s="162">
        <v>8956.6119999999992</v>
      </c>
      <c r="E137" s="156">
        <f>D137*85.128/100</f>
        <v>7624.5846633599986</v>
      </c>
      <c r="F137" s="156">
        <f>E137*79.958/100</f>
        <v>6096.4654051293874</v>
      </c>
      <c r="G137" s="154">
        <f t="shared" si="20"/>
        <v>79.957999999999998</v>
      </c>
      <c r="H137" s="111" t="s">
        <v>293</v>
      </c>
      <c r="I137" s="89">
        <v>97</v>
      </c>
      <c r="J137" s="89">
        <v>100</v>
      </c>
      <c r="K137" s="89">
        <v>98</v>
      </c>
      <c r="L137" s="89">
        <v>98</v>
      </c>
      <c r="M137" s="57">
        <f t="shared" ref="M137:M143" si="27">L137/K137*100</f>
        <v>100</v>
      </c>
      <c r="N137" s="89">
        <v>99</v>
      </c>
    </row>
    <row r="138" spans="1:14" ht="65.25" customHeight="1" x14ac:dyDescent="0.2">
      <c r="A138" s="161"/>
      <c r="B138" s="171"/>
      <c r="C138" s="173"/>
      <c r="D138" s="162"/>
      <c r="E138" s="157"/>
      <c r="F138" s="157"/>
      <c r="G138" s="163" t="e">
        <f t="shared" si="20"/>
        <v>#DIV/0!</v>
      </c>
      <c r="H138" s="111" t="s">
        <v>90</v>
      </c>
      <c r="I138" s="89">
        <v>99</v>
      </c>
      <c r="J138" s="89">
        <v>118.4</v>
      </c>
      <c r="K138" s="89">
        <v>99.5</v>
      </c>
      <c r="L138" s="89">
        <v>99.4</v>
      </c>
      <c r="M138" s="57">
        <f t="shared" si="27"/>
        <v>99.899497487437188</v>
      </c>
      <c r="N138" s="89">
        <v>100</v>
      </c>
    </row>
    <row r="139" spans="1:14" ht="83.25" customHeight="1" x14ac:dyDescent="0.2">
      <c r="A139" s="161"/>
      <c r="B139" s="171"/>
      <c r="C139" s="173"/>
      <c r="D139" s="162"/>
      <c r="E139" s="157">
        <f t="shared" ref="E139" si="28">D139*29.89/100</f>
        <v>0</v>
      </c>
      <c r="F139" s="157">
        <f t="shared" ref="F139" si="29">E139*66.92/100</f>
        <v>0</v>
      </c>
      <c r="G139" s="163" t="e">
        <f t="shared" si="20"/>
        <v>#DIV/0!</v>
      </c>
      <c r="H139" s="111" t="s">
        <v>91</v>
      </c>
      <c r="I139" s="89">
        <v>98.7</v>
      </c>
      <c r="J139" s="89">
        <v>124</v>
      </c>
      <c r="K139" s="89">
        <v>99</v>
      </c>
      <c r="L139" s="89">
        <v>88</v>
      </c>
      <c r="M139" s="57">
        <f t="shared" si="27"/>
        <v>88.888888888888886</v>
      </c>
      <c r="N139" s="89">
        <v>99.5</v>
      </c>
    </row>
    <row r="140" spans="1:14" ht="97.5" customHeight="1" x14ac:dyDescent="0.2">
      <c r="A140" s="151"/>
      <c r="B140" s="172"/>
      <c r="C140" s="160"/>
      <c r="D140" s="162"/>
      <c r="E140" s="158"/>
      <c r="F140" s="158"/>
      <c r="G140" s="155" t="e">
        <f t="shared" ref="G140:G167" si="30">F140/E140*100</f>
        <v>#DIV/0!</v>
      </c>
      <c r="H140" s="111" t="s">
        <v>92</v>
      </c>
      <c r="I140" s="89">
        <v>97</v>
      </c>
      <c r="J140" s="89">
        <v>100</v>
      </c>
      <c r="K140" s="89">
        <v>98</v>
      </c>
      <c r="L140" s="89">
        <v>98</v>
      </c>
      <c r="M140" s="57">
        <f t="shared" si="27"/>
        <v>100</v>
      </c>
      <c r="N140" s="89">
        <v>99</v>
      </c>
    </row>
    <row r="141" spans="1:14" ht="129.75" customHeight="1" x14ac:dyDescent="0.2">
      <c r="A141" s="150">
        <v>4</v>
      </c>
      <c r="B141" s="22" t="s">
        <v>39</v>
      </c>
      <c r="C141" s="25" t="s">
        <v>11</v>
      </c>
      <c r="D141" s="162">
        <v>6807</v>
      </c>
      <c r="E141" s="164">
        <f>D141*85.128/100</f>
        <v>5794.6629599999997</v>
      </c>
      <c r="F141" s="164">
        <f>E141*79.958/100</f>
        <v>4633.2966095567999</v>
      </c>
      <c r="G141" s="112">
        <f t="shared" si="30"/>
        <v>79.958000000000013</v>
      </c>
      <c r="H141" s="111" t="s">
        <v>93</v>
      </c>
      <c r="I141" s="90">
        <v>94</v>
      </c>
      <c r="J141" s="89">
        <v>100</v>
      </c>
      <c r="K141" s="90">
        <v>95</v>
      </c>
      <c r="L141" s="89">
        <v>95</v>
      </c>
      <c r="M141" s="57">
        <f t="shared" si="27"/>
        <v>100</v>
      </c>
      <c r="N141" s="90">
        <v>95</v>
      </c>
    </row>
    <row r="142" spans="1:14" ht="242.25" customHeight="1" x14ac:dyDescent="0.2">
      <c r="A142" s="161"/>
      <c r="B142" s="29"/>
      <c r="C142" s="27"/>
      <c r="D142" s="162"/>
      <c r="E142" s="164"/>
      <c r="F142" s="164"/>
      <c r="G142" s="16"/>
      <c r="H142" s="111" t="s">
        <v>153</v>
      </c>
      <c r="I142" s="89">
        <v>100</v>
      </c>
      <c r="J142" s="89">
        <v>100</v>
      </c>
      <c r="K142" s="89">
        <v>100</v>
      </c>
      <c r="L142" s="89">
        <v>100</v>
      </c>
      <c r="M142" s="57">
        <f t="shared" si="27"/>
        <v>100</v>
      </c>
      <c r="N142" s="89">
        <v>100</v>
      </c>
    </row>
    <row r="143" spans="1:14" ht="100.5" customHeight="1" x14ac:dyDescent="0.2">
      <c r="A143" s="151"/>
      <c r="B143" s="23"/>
      <c r="C143" s="28"/>
      <c r="D143" s="162"/>
      <c r="E143" s="42"/>
      <c r="F143" s="32"/>
      <c r="G143" s="19"/>
      <c r="H143" s="111" t="s">
        <v>154</v>
      </c>
      <c r="I143" s="91">
        <v>1</v>
      </c>
      <c r="J143" s="91">
        <v>1</v>
      </c>
      <c r="K143" s="91">
        <v>1</v>
      </c>
      <c r="L143" s="89">
        <v>1</v>
      </c>
      <c r="M143" s="57">
        <f t="shared" si="27"/>
        <v>100</v>
      </c>
      <c r="N143" s="91">
        <v>1</v>
      </c>
    </row>
    <row r="144" spans="1:14" ht="87.75" customHeight="1" x14ac:dyDescent="0.2">
      <c r="A144" s="150">
        <v>5</v>
      </c>
      <c r="B144" s="124" t="s">
        <v>40</v>
      </c>
      <c r="C144" s="159" t="s">
        <v>11</v>
      </c>
      <c r="D144" s="41">
        <v>80967.8</v>
      </c>
      <c r="E144" s="92">
        <f>D144*85.128/100-1.17</f>
        <v>68925.098784000002</v>
      </c>
      <c r="F144" s="92">
        <f>E144*79.958/100-0.18</f>
        <v>55110.950485710717</v>
      </c>
      <c r="G144" s="112">
        <f t="shared" si="30"/>
        <v>79.95773884694664</v>
      </c>
      <c r="H144" s="111" t="s">
        <v>97</v>
      </c>
      <c r="I144" s="91">
        <v>96</v>
      </c>
      <c r="J144" s="89">
        <v>98.1</v>
      </c>
      <c r="K144" s="91">
        <v>96</v>
      </c>
      <c r="L144" s="89">
        <v>97.9</v>
      </c>
      <c r="M144" s="57">
        <f t="shared" ref="M144:M152" si="31">L144/K144*100</f>
        <v>101.97916666666667</v>
      </c>
      <c r="N144" s="91">
        <v>96</v>
      </c>
    </row>
    <row r="145" spans="1:14" ht="54.75" customHeight="1" x14ac:dyDescent="0.2">
      <c r="A145" s="161"/>
      <c r="B145" s="125"/>
      <c r="C145" s="173"/>
      <c r="D145" s="41"/>
      <c r="E145" s="94"/>
      <c r="F145" s="33"/>
      <c r="G145" s="16"/>
      <c r="H145" s="111" t="s">
        <v>198</v>
      </c>
      <c r="I145" s="71" t="s">
        <v>55</v>
      </c>
      <c r="J145" s="89">
        <v>74.2</v>
      </c>
      <c r="K145" s="71" t="s">
        <v>55</v>
      </c>
      <c r="L145" s="89">
        <v>68.099999999999994</v>
      </c>
      <c r="M145" s="57">
        <f t="shared" si="31"/>
        <v>97.285714285714278</v>
      </c>
      <c r="N145" s="91">
        <v>70</v>
      </c>
    </row>
    <row r="146" spans="1:14" ht="100.5" customHeight="1" x14ac:dyDescent="0.2">
      <c r="A146" s="116"/>
      <c r="B146" s="108"/>
      <c r="C146" s="101"/>
      <c r="D146" s="41"/>
      <c r="E146" s="94"/>
      <c r="F146" s="94"/>
      <c r="G146" s="113"/>
      <c r="H146" s="111" t="s">
        <v>78</v>
      </c>
      <c r="I146" s="71" t="s">
        <v>79</v>
      </c>
      <c r="J146" s="89">
        <v>97</v>
      </c>
      <c r="K146" s="71" t="s">
        <v>79</v>
      </c>
      <c r="L146" s="89">
        <v>89.65</v>
      </c>
      <c r="M146" s="57">
        <f t="shared" si="31"/>
        <v>179.3</v>
      </c>
      <c r="N146" s="91">
        <v>50</v>
      </c>
    </row>
    <row r="147" spans="1:14" ht="141.75" x14ac:dyDescent="0.2">
      <c r="A147" s="116"/>
      <c r="B147" s="108"/>
      <c r="C147" s="101"/>
      <c r="D147" s="41"/>
      <c r="E147" s="94"/>
      <c r="F147" s="94"/>
      <c r="G147" s="113"/>
      <c r="H147" s="111" t="s">
        <v>299</v>
      </c>
      <c r="I147" s="71" t="s">
        <v>29</v>
      </c>
      <c r="J147" s="89" t="s">
        <v>29</v>
      </c>
      <c r="K147" s="71" t="s">
        <v>300</v>
      </c>
      <c r="L147" s="89">
        <v>92</v>
      </c>
      <c r="M147" s="57">
        <f t="shared" si="31"/>
        <v>108.23529411764706</v>
      </c>
      <c r="N147" s="91">
        <v>85</v>
      </c>
    </row>
    <row r="148" spans="1:14" ht="63" x14ac:dyDescent="0.2">
      <c r="A148" s="116"/>
      <c r="B148" s="108"/>
      <c r="C148" s="101"/>
      <c r="D148" s="41"/>
      <c r="E148" s="94"/>
      <c r="F148" s="94"/>
      <c r="G148" s="113"/>
      <c r="H148" s="111" t="s">
        <v>301</v>
      </c>
      <c r="I148" s="71" t="s">
        <v>29</v>
      </c>
      <c r="J148" s="89" t="s">
        <v>29</v>
      </c>
      <c r="K148" s="71" t="s">
        <v>302</v>
      </c>
      <c r="L148" s="89" t="s">
        <v>29</v>
      </c>
      <c r="M148" s="57" t="s">
        <v>29</v>
      </c>
      <c r="N148" s="91" t="s">
        <v>29</v>
      </c>
    </row>
    <row r="149" spans="1:14" ht="47.25" x14ac:dyDescent="0.2">
      <c r="A149" s="116"/>
      <c r="B149" s="108"/>
      <c r="C149" s="101"/>
      <c r="D149" s="41"/>
      <c r="E149" s="94"/>
      <c r="F149" s="94"/>
      <c r="G149" s="113"/>
      <c r="H149" s="111" t="s">
        <v>303</v>
      </c>
      <c r="I149" s="71" t="s">
        <v>29</v>
      </c>
      <c r="J149" s="89" t="s">
        <v>29</v>
      </c>
      <c r="K149" s="71" t="s">
        <v>193</v>
      </c>
      <c r="L149" s="89">
        <v>19</v>
      </c>
      <c r="M149" s="57">
        <f t="shared" si="31"/>
        <v>190</v>
      </c>
      <c r="N149" s="91">
        <v>10</v>
      </c>
    </row>
    <row r="150" spans="1:14" ht="99" customHeight="1" x14ac:dyDescent="0.2">
      <c r="A150" s="116"/>
      <c r="B150" s="108"/>
      <c r="C150" s="101"/>
      <c r="D150" s="43"/>
      <c r="E150" s="94"/>
      <c r="F150" s="94"/>
      <c r="G150" s="113"/>
      <c r="H150" s="111" t="s">
        <v>80</v>
      </c>
      <c r="I150" s="71" t="s">
        <v>81</v>
      </c>
      <c r="J150" s="89">
        <v>0</v>
      </c>
      <c r="K150" s="71" t="s">
        <v>81</v>
      </c>
      <c r="L150" s="89">
        <v>0</v>
      </c>
      <c r="M150" s="57">
        <v>100</v>
      </c>
      <c r="N150" s="91">
        <v>0</v>
      </c>
    </row>
    <row r="151" spans="1:14" ht="48.75" customHeight="1" x14ac:dyDescent="0.2">
      <c r="A151" s="150">
        <v>6</v>
      </c>
      <c r="B151" s="124" t="s">
        <v>41</v>
      </c>
      <c r="C151" s="159" t="s">
        <v>11</v>
      </c>
      <c r="D151" s="41">
        <v>79595.199999999997</v>
      </c>
      <c r="E151" s="156">
        <f t="shared" ref="E151:E152" si="32">D151*85.128/100</f>
        <v>67757.801855999991</v>
      </c>
      <c r="F151" s="156">
        <f t="shared" ref="F151:F152" si="33">E151*79.958/100</f>
        <v>54177.783208020468</v>
      </c>
      <c r="G151" s="154">
        <f t="shared" si="30"/>
        <v>79.957999999999998</v>
      </c>
      <c r="H151" s="111" t="s">
        <v>42</v>
      </c>
      <c r="I151" s="91">
        <v>35140</v>
      </c>
      <c r="J151" s="89">
        <v>35140</v>
      </c>
      <c r="K151" s="91">
        <v>35150</v>
      </c>
      <c r="L151" s="89">
        <v>26278</v>
      </c>
      <c r="M151" s="57">
        <f t="shared" si="31"/>
        <v>74.75960170697013</v>
      </c>
      <c r="N151" s="91">
        <v>35160</v>
      </c>
    </row>
    <row r="152" spans="1:14" ht="81.75" customHeight="1" x14ac:dyDescent="0.2">
      <c r="A152" s="151"/>
      <c r="B152" s="134"/>
      <c r="C152" s="160"/>
      <c r="D152" s="41"/>
      <c r="E152" s="158">
        <f t="shared" si="32"/>
        <v>0</v>
      </c>
      <c r="F152" s="158">
        <f t="shared" si="33"/>
        <v>0</v>
      </c>
      <c r="G152" s="155" t="e">
        <f t="shared" si="30"/>
        <v>#DIV/0!</v>
      </c>
      <c r="H152" s="111" t="s">
        <v>43</v>
      </c>
      <c r="I152" s="91">
        <v>64440</v>
      </c>
      <c r="J152" s="91">
        <v>64440</v>
      </c>
      <c r="K152" s="91">
        <v>64450</v>
      </c>
      <c r="L152" s="91">
        <v>48807</v>
      </c>
      <c r="M152" s="57">
        <f t="shared" si="31"/>
        <v>75.728471683475561</v>
      </c>
      <c r="N152" s="91">
        <v>64460</v>
      </c>
    </row>
    <row r="153" spans="1:14" ht="116.25" customHeight="1" x14ac:dyDescent="0.2">
      <c r="A153" s="114">
        <v>7</v>
      </c>
      <c r="B153" s="168" t="s">
        <v>23</v>
      </c>
      <c r="C153" s="25" t="s">
        <v>11</v>
      </c>
      <c r="D153" s="162">
        <v>37976</v>
      </c>
      <c r="E153" s="92">
        <f>D153*85.128/100</f>
        <v>32328.209279999999</v>
      </c>
      <c r="F153" s="92">
        <f>E153*79.958/100</f>
        <v>25848.989576102398</v>
      </c>
      <c r="G153" s="95">
        <f t="shared" si="30"/>
        <v>79.957999999999998</v>
      </c>
      <c r="H153" s="52" t="s">
        <v>155</v>
      </c>
      <c r="I153" s="89">
        <v>85</v>
      </c>
      <c r="J153" s="89">
        <v>100</v>
      </c>
      <c r="K153" s="89">
        <v>90</v>
      </c>
      <c r="L153" s="89" t="s">
        <v>29</v>
      </c>
      <c r="M153" s="89" t="s">
        <v>29</v>
      </c>
      <c r="N153" s="89">
        <v>90</v>
      </c>
    </row>
    <row r="154" spans="1:14" ht="288.75" customHeight="1" x14ac:dyDescent="0.2">
      <c r="A154" s="17"/>
      <c r="B154" s="169"/>
      <c r="C154" s="27"/>
      <c r="D154" s="162"/>
      <c r="E154" s="72"/>
      <c r="F154" s="33"/>
      <c r="G154" s="20"/>
      <c r="H154" s="73" t="s">
        <v>82</v>
      </c>
      <c r="I154" s="91">
        <v>100</v>
      </c>
      <c r="J154" s="91">
        <v>100</v>
      </c>
      <c r="K154" s="91">
        <v>100</v>
      </c>
      <c r="L154" s="91">
        <v>100</v>
      </c>
      <c r="M154" s="91">
        <f>L154/K154*100</f>
        <v>100</v>
      </c>
      <c r="N154" s="91">
        <v>100</v>
      </c>
    </row>
    <row r="155" spans="1:14" ht="321" customHeight="1" x14ac:dyDescent="0.2">
      <c r="A155" s="17"/>
      <c r="B155" s="26"/>
      <c r="C155" s="27"/>
      <c r="D155" s="162"/>
      <c r="E155" s="72"/>
      <c r="F155" s="72"/>
      <c r="G155" s="20"/>
      <c r="H155" s="74" t="s">
        <v>83</v>
      </c>
      <c r="I155" s="91">
        <v>100</v>
      </c>
      <c r="J155" s="91">
        <v>100</v>
      </c>
      <c r="K155" s="91">
        <v>100</v>
      </c>
      <c r="L155" s="91">
        <v>100</v>
      </c>
      <c r="M155" s="91">
        <f>L155/K155*100</f>
        <v>100</v>
      </c>
      <c r="N155" s="91">
        <v>100</v>
      </c>
    </row>
    <row r="156" spans="1:14" ht="353.25" customHeight="1" x14ac:dyDescent="0.2">
      <c r="A156" s="17"/>
      <c r="B156" s="26"/>
      <c r="C156" s="27"/>
      <c r="D156" s="162"/>
      <c r="E156" s="72"/>
      <c r="F156" s="72"/>
      <c r="G156" s="20"/>
      <c r="H156" s="74" t="s">
        <v>84</v>
      </c>
      <c r="I156" s="91">
        <v>100</v>
      </c>
      <c r="J156" s="91">
        <v>100</v>
      </c>
      <c r="K156" s="91">
        <v>100</v>
      </c>
      <c r="L156" s="91">
        <v>100</v>
      </c>
      <c r="M156" s="91">
        <f>L156/K156*100</f>
        <v>100</v>
      </c>
      <c r="N156" s="91">
        <v>100</v>
      </c>
    </row>
    <row r="157" spans="1:14" ht="97.5" customHeight="1" x14ac:dyDescent="0.2">
      <c r="A157" s="17"/>
      <c r="B157" s="26"/>
      <c r="C157" s="27"/>
      <c r="D157" s="162"/>
      <c r="E157" s="72"/>
      <c r="F157" s="72"/>
      <c r="G157" s="20"/>
      <c r="H157" s="23" t="s">
        <v>85</v>
      </c>
      <c r="I157" s="91">
        <v>100</v>
      </c>
      <c r="J157" s="91">
        <v>100</v>
      </c>
      <c r="K157" s="91">
        <v>100</v>
      </c>
      <c r="L157" s="91">
        <v>100</v>
      </c>
      <c r="M157" s="91">
        <f>L157/K157*100</f>
        <v>100</v>
      </c>
      <c r="N157" s="91">
        <v>100</v>
      </c>
    </row>
    <row r="158" spans="1:14" ht="64.5" customHeight="1" x14ac:dyDescent="0.2">
      <c r="A158" s="17"/>
      <c r="B158" s="26"/>
      <c r="C158" s="27"/>
      <c r="D158" s="162"/>
      <c r="E158" s="72"/>
      <c r="F158" s="72"/>
      <c r="G158" s="20"/>
      <c r="H158" s="111" t="s">
        <v>197</v>
      </c>
      <c r="I158" s="89">
        <v>100</v>
      </c>
      <c r="J158" s="89">
        <v>100</v>
      </c>
      <c r="K158" s="89">
        <v>100</v>
      </c>
      <c r="L158" s="89" t="s">
        <v>29</v>
      </c>
      <c r="M158" s="89" t="s">
        <v>29</v>
      </c>
      <c r="N158" s="89">
        <v>100</v>
      </c>
    </row>
    <row r="159" spans="1:14" ht="99.75" customHeight="1" x14ac:dyDescent="0.2">
      <c r="A159" s="17"/>
      <c r="B159" s="26"/>
      <c r="C159" s="27"/>
      <c r="D159" s="162"/>
      <c r="E159" s="72"/>
      <c r="F159" s="72"/>
      <c r="G159" s="20"/>
      <c r="H159" s="111" t="s">
        <v>156</v>
      </c>
      <c r="I159" s="89">
        <v>15</v>
      </c>
      <c r="J159" s="89">
        <v>8</v>
      </c>
      <c r="K159" s="89">
        <v>8</v>
      </c>
      <c r="L159" s="89" t="s">
        <v>29</v>
      </c>
      <c r="M159" s="89" t="s">
        <v>29</v>
      </c>
      <c r="N159" s="89">
        <v>8</v>
      </c>
    </row>
    <row r="160" spans="1:14" ht="122.25" customHeight="1" x14ac:dyDescent="0.2">
      <c r="A160" s="17"/>
      <c r="B160" s="26"/>
      <c r="C160" s="27"/>
      <c r="D160" s="162"/>
      <c r="E160" s="72"/>
      <c r="F160" s="72"/>
      <c r="G160" s="20"/>
      <c r="H160" s="111" t="s">
        <v>110</v>
      </c>
      <c r="I160" s="89">
        <v>15</v>
      </c>
      <c r="J160" s="89">
        <v>18</v>
      </c>
      <c r="K160" s="89">
        <v>15</v>
      </c>
      <c r="L160" s="89" t="s">
        <v>29</v>
      </c>
      <c r="M160" s="89" t="s">
        <v>29</v>
      </c>
      <c r="N160" s="89">
        <v>15</v>
      </c>
    </row>
    <row r="161" spans="1:14" ht="71.25" customHeight="1" x14ac:dyDescent="0.2">
      <c r="A161" s="18"/>
      <c r="B161" s="24"/>
      <c r="C161" s="28"/>
      <c r="D161" s="162"/>
      <c r="E161" s="32"/>
      <c r="F161" s="32"/>
      <c r="G161" s="21"/>
      <c r="H161" s="111" t="s">
        <v>111</v>
      </c>
      <c r="I161" s="89">
        <v>100</v>
      </c>
      <c r="J161" s="89">
        <v>100</v>
      </c>
      <c r="K161" s="89">
        <v>100</v>
      </c>
      <c r="L161" s="89">
        <v>100</v>
      </c>
      <c r="M161" s="89">
        <v>100</v>
      </c>
      <c r="N161" s="89">
        <v>100</v>
      </c>
    </row>
    <row r="162" spans="1:14" ht="99" customHeight="1" x14ac:dyDescent="0.2">
      <c r="A162" s="103">
        <f>A153+1</f>
        <v>8</v>
      </c>
      <c r="B162" s="53" t="s">
        <v>24</v>
      </c>
      <c r="C162" s="5" t="s">
        <v>11</v>
      </c>
      <c r="D162" s="41">
        <v>9314.9</v>
      </c>
      <c r="E162" s="56">
        <f>D162*85.128/100</f>
        <v>7929.5880719999996</v>
      </c>
      <c r="F162" s="56">
        <f>E162*79.958/100</f>
        <v>6340.3400306097592</v>
      </c>
      <c r="G162" s="37">
        <f t="shared" si="30"/>
        <v>79.957999999999998</v>
      </c>
      <c r="H162" s="124" t="s">
        <v>157</v>
      </c>
      <c r="I162" s="182">
        <v>297.08999999999997</v>
      </c>
      <c r="J162" s="182">
        <v>397.4</v>
      </c>
      <c r="K162" s="182">
        <v>167.01</v>
      </c>
      <c r="L162" s="182" t="s">
        <v>29</v>
      </c>
      <c r="M162" s="182" t="s">
        <v>29</v>
      </c>
      <c r="N162" s="182">
        <v>166.04</v>
      </c>
    </row>
    <row r="163" spans="1:14" ht="66.75" customHeight="1" x14ac:dyDescent="0.2">
      <c r="A163" s="103">
        <v>9</v>
      </c>
      <c r="B163" s="53" t="s">
        <v>112</v>
      </c>
      <c r="C163" s="5" t="s">
        <v>58</v>
      </c>
      <c r="D163" s="56">
        <v>274544.90000000002</v>
      </c>
      <c r="E163" s="56">
        <v>139862.35999999999</v>
      </c>
      <c r="F163" s="56">
        <v>139862.35999999999</v>
      </c>
      <c r="G163" s="37">
        <f t="shared" si="30"/>
        <v>100</v>
      </c>
      <c r="H163" s="134"/>
      <c r="I163" s="183"/>
      <c r="J163" s="183"/>
      <c r="K163" s="183"/>
      <c r="L163" s="183"/>
      <c r="M163" s="183"/>
      <c r="N163" s="183"/>
    </row>
    <row r="164" spans="1:14" ht="38.25" customHeight="1" x14ac:dyDescent="0.2">
      <c r="A164" s="75" t="s">
        <v>27</v>
      </c>
      <c r="B164" s="76"/>
      <c r="C164" s="6" t="s">
        <v>45</v>
      </c>
      <c r="D164" s="59">
        <f>SUM(D165:D167)</f>
        <v>1125587.5827200001</v>
      </c>
      <c r="E164" s="59">
        <f>SUM(E165:E167)</f>
        <v>693239.43004391994</v>
      </c>
      <c r="F164" s="59">
        <f>SUM(F165:F167)</f>
        <v>430070.02986435883</v>
      </c>
      <c r="G164" s="12">
        <f t="shared" si="30"/>
        <v>62.037733462032286</v>
      </c>
      <c r="H164" s="60"/>
      <c r="I164" s="77"/>
      <c r="J164" s="77"/>
      <c r="K164" s="77"/>
      <c r="L164" s="77"/>
      <c r="M164" s="104"/>
      <c r="N164" s="77"/>
    </row>
    <row r="165" spans="1:14" ht="56.25" customHeight="1" x14ac:dyDescent="0.2">
      <c r="A165" s="78"/>
      <c r="B165" s="79"/>
      <c r="C165" s="5" t="s">
        <v>18</v>
      </c>
      <c r="D165" s="65">
        <f>D72+D122</f>
        <v>70035.399999999994</v>
      </c>
      <c r="E165" s="65">
        <f>E72+E122</f>
        <v>13385.1</v>
      </c>
      <c r="F165" s="65">
        <f>F72+F122</f>
        <v>13385.1</v>
      </c>
      <c r="G165" s="37">
        <f t="shared" si="30"/>
        <v>100</v>
      </c>
      <c r="H165" s="80"/>
      <c r="I165" s="77"/>
      <c r="J165" s="77"/>
      <c r="K165" s="77"/>
      <c r="L165" s="77"/>
      <c r="M165" s="104"/>
      <c r="N165" s="77"/>
    </row>
    <row r="166" spans="1:14" ht="50.25" customHeight="1" x14ac:dyDescent="0.2">
      <c r="A166" s="78"/>
      <c r="B166" s="79"/>
      <c r="C166" s="5" t="s">
        <v>11</v>
      </c>
      <c r="D166" s="65">
        <f>D13+D49+D57+D73+D112+D123+D129</f>
        <v>781007.28272000002</v>
      </c>
      <c r="E166" s="65">
        <f>E13+E49+E57+E73+E112+E123+E129</f>
        <v>539991.97004391998</v>
      </c>
      <c r="F166" s="65">
        <f>F13+F49+F57+F73+F112+F123+F129</f>
        <v>276822.56986435887</v>
      </c>
      <c r="G166" s="37">
        <f t="shared" si="30"/>
        <v>51.264201177258919</v>
      </c>
      <c r="H166" s="80"/>
      <c r="I166" s="77"/>
      <c r="J166" s="77"/>
      <c r="K166" s="77"/>
      <c r="L166" s="77"/>
      <c r="M166" s="104"/>
      <c r="N166" s="77"/>
    </row>
    <row r="167" spans="1:14" ht="36" customHeight="1" x14ac:dyDescent="0.2">
      <c r="A167" s="78"/>
      <c r="B167" s="79"/>
      <c r="C167" s="5" t="s">
        <v>58</v>
      </c>
      <c r="D167" s="56">
        <f>SUM(D163)</f>
        <v>274544.90000000002</v>
      </c>
      <c r="E167" s="56">
        <f t="shared" ref="E167:F167" si="34">SUM(E163)</f>
        <v>139862.35999999999</v>
      </c>
      <c r="F167" s="56">
        <f t="shared" si="34"/>
        <v>139862.35999999999</v>
      </c>
      <c r="G167" s="37">
        <f t="shared" si="30"/>
        <v>100</v>
      </c>
      <c r="H167" s="80"/>
      <c r="I167" s="77"/>
      <c r="J167" s="77"/>
      <c r="K167" s="77"/>
      <c r="L167" s="77"/>
      <c r="M167" s="104"/>
      <c r="N167" s="77"/>
    </row>
    <row r="168" spans="1:14" ht="19.5" customHeight="1" x14ac:dyDescent="0.2">
      <c r="A168" s="167" t="s">
        <v>132</v>
      </c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</row>
    <row r="169" spans="1:14" ht="63.75" customHeight="1" x14ac:dyDescent="0.2">
      <c r="A169" s="165" t="s">
        <v>305</v>
      </c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</row>
    <row r="170" spans="1:14" ht="19.5" customHeight="1" x14ac:dyDescent="0.2">
      <c r="A170" s="38"/>
      <c r="B170" s="14"/>
      <c r="C170" s="14"/>
      <c r="D170" s="34"/>
      <c r="E170" s="34"/>
      <c r="F170" s="34"/>
      <c r="G170" s="14"/>
      <c r="H170" s="14"/>
      <c r="I170" s="14"/>
      <c r="J170" s="14"/>
      <c r="K170" s="14"/>
      <c r="L170" s="14"/>
      <c r="M170" s="14"/>
      <c r="N170" s="14"/>
    </row>
    <row r="171" spans="1:14" ht="18.75" x14ac:dyDescent="0.2">
      <c r="A171" s="165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</row>
  </sheetData>
  <autoFilter ref="C1:C171"/>
  <mergeCells count="142">
    <mergeCell ref="M84:M85"/>
    <mergeCell ref="M86:M87"/>
    <mergeCell ref="D153:D161"/>
    <mergeCell ref="N162:N163"/>
    <mergeCell ref="N125:N126"/>
    <mergeCell ref="N84:N85"/>
    <mergeCell ref="K84:K85"/>
    <mergeCell ref="E113:E114"/>
    <mergeCell ref="F113:F114"/>
    <mergeCell ref="D113:D114"/>
    <mergeCell ref="N107:N108"/>
    <mergeCell ref="D119:D120"/>
    <mergeCell ref="L107:L108"/>
    <mergeCell ref="M107:M108"/>
    <mergeCell ref="I162:I163"/>
    <mergeCell ref="J162:J163"/>
    <mergeCell ref="K162:K163"/>
    <mergeCell ref="L162:L163"/>
    <mergeCell ref="M162:M163"/>
    <mergeCell ref="D115:D118"/>
    <mergeCell ref="B113:B114"/>
    <mergeCell ref="A125:A126"/>
    <mergeCell ref="A121:A123"/>
    <mergeCell ref="C144:C145"/>
    <mergeCell ref="D131:D132"/>
    <mergeCell ref="D137:D140"/>
    <mergeCell ref="B119:B120"/>
    <mergeCell ref="M69:M70"/>
    <mergeCell ref="E133:E136"/>
    <mergeCell ref="G113:G114"/>
    <mergeCell ref="G119:G120"/>
    <mergeCell ref="G115:G118"/>
    <mergeCell ref="E119:E120"/>
    <mergeCell ref="F119:F120"/>
    <mergeCell ref="E115:E118"/>
    <mergeCell ref="F115:F118"/>
    <mergeCell ref="L84:L85"/>
    <mergeCell ref="I84:I85"/>
    <mergeCell ref="H84:H85"/>
    <mergeCell ref="J84:J85"/>
    <mergeCell ref="H69:H70"/>
    <mergeCell ref="L69:L70"/>
    <mergeCell ref="B71:B73"/>
    <mergeCell ref="A71:A73"/>
    <mergeCell ref="A51:A55"/>
    <mergeCell ref="B51:B55"/>
    <mergeCell ref="C51:C55"/>
    <mergeCell ref="A86:A87"/>
    <mergeCell ref="C137:C140"/>
    <mergeCell ref="B133:B136"/>
    <mergeCell ref="C113:C114"/>
    <mergeCell ref="A74:A75"/>
    <mergeCell ref="B84:B85"/>
    <mergeCell ref="B86:B87"/>
    <mergeCell ref="A84:A85"/>
    <mergeCell ref="A88:A89"/>
    <mergeCell ref="B88:B89"/>
    <mergeCell ref="A115:A118"/>
    <mergeCell ref="B115:B118"/>
    <mergeCell ref="B74:B75"/>
    <mergeCell ref="C119:C120"/>
    <mergeCell ref="C115:C118"/>
    <mergeCell ref="A171:N171"/>
    <mergeCell ref="J125:J126"/>
    <mergeCell ref="L125:L126"/>
    <mergeCell ref="H125:H126"/>
    <mergeCell ref="I125:I126"/>
    <mergeCell ref="K125:K126"/>
    <mergeCell ref="A168:N168"/>
    <mergeCell ref="M125:M126"/>
    <mergeCell ref="A169:N169"/>
    <mergeCell ref="B153:B154"/>
    <mergeCell ref="F151:F152"/>
    <mergeCell ref="E141:E142"/>
    <mergeCell ref="B137:B140"/>
    <mergeCell ref="E131:E132"/>
    <mergeCell ref="G137:G140"/>
    <mergeCell ref="H162:H163"/>
    <mergeCell ref="A131:A132"/>
    <mergeCell ref="B131:B132"/>
    <mergeCell ref="E137:E140"/>
    <mergeCell ref="F137:F140"/>
    <mergeCell ref="F131:F132"/>
    <mergeCell ref="C133:C136"/>
    <mergeCell ref="D133:D136"/>
    <mergeCell ref="C131:C132"/>
    <mergeCell ref="A151:A152"/>
    <mergeCell ref="B121:B123"/>
    <mergeCell ref="B125:B126"/>
    <mergeCell ref="G151:G152"/>
    <mergeCell ref="F133:F136"/>
    <mergeCell ref="E151:E152"/>
    <mergeCell ref="B151:B152"/>
    <mergeCell ref="C151:C152"/>
    <mergeCell ref="B144:B145"/>
    <mergeCell ref="A144:A145"/>
    <mergeCell ref="D141:D143"/>
    <mergeCell ref="G131:G132"/>
    <mergeCell ref="G133:G136"/>
    <mergeCell ref="A141:A143"/>
    <mergeCell ref="A133:A136"/>
    <mergeCell ref="A137:A140"/>
    <mergeCell ref="F141:F142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H33:H42"/>
    <mergeCell ref="I33:I42"/>
    <mergeCell ref="J33:J42"/>
    <mergeCell ref="K33:K42"/>
    <mergeCell ref="L33:L42"/>
    <mergeCell ref="M33:M42"/>
    <mergeCell ref="F4:N4"/>
    <mergeCell ref="F5:N5"/>
    <mergeCell ref="F6:N6"/>
    <mergeCell ref="F7:N7"/>
    <mergeCell ref="F9:F11"/>
    <mergeCell ref="H58:H60"/>
    <mergeCell ref="N33:N42"/>
    <mergeCell ref="H86:H87"/>
    <mergeCell ref="A9:A11"/>
    <mergeCell ref="C9:C11"/>
    <mergeCell ref="E9:E11"/>
    <mergeCell ref="B9:B11"/>
    <mergeCell ref="D9:D11"/>
    <mergeCell ref="F51:F55"/>
    <mergeCell ref="G51:G55"/>
    <mergeCell ref="D51:D55"/>
    <mergeCell ref="E51:E55"/>
    <mergeCell ref="N16:N20"/>
    <mergeCell ref="I16:I20"/>
    <mergeCell ref="K16:K20"/>
    <mergeCell ref="L16:L20"/>
    <mergeCell ref="M16:M20"/>
  </mergeCells>
  <phoneticPr fontId="3" type="noConversion"/>
  <printOptions horizontalCentered="1"/>
  <pageMargins left="0.19685039370078741" right="0.27559055118110237" top="0.39370078740157483" bottom="0.39370078740157483" header="0" footer="0.31496062992125984"/>
  <pageSetup paperSize="9" scale="64" orientation="landscape" r:id="rId1"/>
  <headerFooter alignWithMargins="0">
    <oddFooter>Страница &amp;P</oddFooter>
  </headerFooter>
  <ignoredErrors>
    <ignoredError sqref="D129 F73" formulaRange="1"/>
    <ignoredError sqref="I145:K145 I146:K146 K150 I150 A92: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2018-07-23T17:44:12Z</cp:lastPrinted>
  <dcterms:created xsi:type="dcterms:W3CDTF">2010-02-19T07:22:40Z</dcterms:created>
  <dcterms:modified xsi:type="dcterms:W3CDTF">2018-10-21T14:59:04Z</dcterms:modified>
</cp:coreProperties>
</file>